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tabRatio="863" firstSheet="25" activeTab="30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.a.sz.m.fejlesztés (4)" sheetId="8" r:id="rId8"/>
    <sheet name="6.b.sz.m.intfejl (2)" sheetId="9" r:id="rId9"/>
    <sheet name="7.sz.m.Dologi kiadás (3)" sheetId="10" r:id="rId10"/>
    <sheet name="8.sz.m.szociális kiadások (2)" sheetId="11" r:id="rId11"/>
    <sheet name="9.sz.m.átadott pe (3)" sheetId="12" r:id="rId12"/>
    <sheet name="10 .sz.m. Létszám (2)" sheetId="13" r:id="rId13"/>
    <sheet name="11.sz.m.maradvány" sheetId="14" r:id="rId14"/>
    <sheet name="12.sz.m.mérleg" sheetId="15" r:id="rId15"/>
    <sheet name="13amell.Vagyokim. Beled Önk" sheetId="16" r:id="rId16"/>
    <sheet name="13bmell.Vagyokim. Közös Hiv" sheetId="17" r:id="rId17"/>
    <sheet name="13cmell.Vagyokim.BÁMK" sheetId="18" r:id="rId18"/>
    <sheet name="13d.sz.m Önk. érték nélkül Bele" sheetId="19" r:id="rId19"/>
    <sheet name="13e.sz.m érték nélkül Közös Hiv" sheetId="20" r:id="rId20"/>
    <sheet name="13f.sz.m.érték nélkül BÁMK" sheetId="21" r:id="rId21"/>
    <sheet name="14. sz adósság kötelezettség" sheetId="22" r:id="rId22"/>
    <sheet name="15. saját bevételek" sheetId="23" r:id="rId23"/>
    <sheet name="16. sz.m. hitelállomány" sheetId="24" r:id="rId24"/>
    <sheet name="17.sz.m.akü" sheetId="25" r:id="rId25"/>
    <sheet name="18.sz.m. állami támogatás " sheetId="26" r:id="rId26"/>
    <sheet name="19. sz.m. közvetett tám. " sheetId="27" r:id="rId27"/>
    <sheet name="20.sz.m.többéves kihatás" sheetId="28" r:id="rId28"/>
    <sheet name="21.sz.m.részesedések" sheetId="29" r:id="rId29"/>
    <sheet name="22.sz.m. pe változás" sheetId="30" r:id="rId30"/>
    <sheet name="23. sz. m. EU " sheetId="31" r:id="rId31"/>
    <sheet name="üres lap" sheetId="32" r:id="rId32"/>
  </sheets>
  <externalReferences>
    <externalReference r:id="rId35"/>
    <externalReference r:id="rId36"/>
    <externalReference r:id="rId37"/>
    <externalReference r:id="rId38"/>
  </externalReferences>
  <definedNames>
    <definedName name="_xlfn.IFERROR" hidden="1">#NAME?</definedName>
    <definedName name="_xlnm.Print_Area" localSheetId="1">'1 .sz.m.önk.össz.kiad.'!$A$1:$AD$66</definedName>
    <definedName name="_xlnm.Print_Area" localSheetId="0">'1.sz.m-önk.össze.bev'!$A$1:$AD$64</definedName>
    <definedName name="_xlnm.Print_Area" localSheetId="12">'10 .sz.m. Létszám (2)'!$A$1:$M$16</definedName>
    <definedName name="_xlnm.Print_Area" localSheetId="21">'14. sz adósság kötelezettség'!$A$1:$F$25</definedName>
    <definedName name="_xlnm.Print_Area" localSheetId="2">'2.sz.m.összehasonlító'!$A$1:$N$32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Hiv'!$A$1:$AC$52</definedName>
    <definedName name="_xlnm.Print_Area" localSheetId="6">'5.2 sz. m ÁMK'!$A$1:$V$56</definedName>
    <definedName name="_xlnm.Print_Area" localSheetId="7">'6.a.sz.m.fejlesztés (4)'!$A$1:$Y$47</definedName>
    <definedName name="_xlnm.Print_Area" localSheetId="8">'6.b.sz.m.intfejl (2)'!$A$1:$J$36</definedName>
    <definedName name="_xlnm.Print_Area" localSheetId="9">'7.sz.m.Dologi kiadás (3)'!$A$1:$X$37</definedName>
    <definedName name="_xlnm.Print_Area" localSheetId="10">'8.sz.m.szociális kiadások (2)'!$A$1:$W$36</definedName>
    <definedName name="_xlnm.Print_Area" localSheetId="11">'9.sz.m.átadott pe (3)'!$A$1:$AB$116</definedName>
    <definedName name="_xlnm.Print_Area" localSheetId="31">'üres lap'!$A$1:$R$44</definedName>
  </definedNames>
  <calcPr fullCalcOnLoad="1"/>
</workbook>
</file>

<file path=xl/sharedStrings.xml><?xml version="1.0" encoding="utf-8"?>
<sst xmlns="http://schemas.openxmlformats.org/spreadsheetml/2006/main" count="3033" uniqueCount="1467">
  <si>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</si>
  <si>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</si>
  <si>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</si>
  <si>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</si>
  <si>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</si>
  <si>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</si>
  <si>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</si>
  <si>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</si>
  <si>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</si>
  <si>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</si>
  <si>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</si>
  <si>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</si>
  <si>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</si>
  <si>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</si>
  <si>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</si>
  <si>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</si>
  <si>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</si>
  <si>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</si>
  <si>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</si>
  <si>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</si>
  <si>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</si>
  <si>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</si>
  <si>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</si>
  <si>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</si>
  <si>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</si>
  <si>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</si>
  <si>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</si>
  <si>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</si>
  <si>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</si>
  <si>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</si>
  <si>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</si>
  <si>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</si>
  <si>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</si>
  <si>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</si>
  <si>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</si>
  <si>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</si>
  <si>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</si>
  <si>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</si>
  <si>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</si>
  <si>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</si>
  <si>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</si>
  <si>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</si>
  <si>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</si>
  <si>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</si>
  <si>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</si>
  <si>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</si>
  <si>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</si>
  <si>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</si>
  <si>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</si>
  <si>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</si>
  <si>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</si>
  <si>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</si>
  <si>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</si>
  <si>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</si>
  <si>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</si>
  <si>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</si>
  <si>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</si>
  <si>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</si>
  <si>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</si>
  <si>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</si>
  <si>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</si>
  <si>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</si>
  <si>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</si>
  <si>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</si>
  <si>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</si>
  <si>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</si>
  <si>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</si>
  <si>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</si>
  <si>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</si>
  <si>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</si>
  <si>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</si>
  <si>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</si>
  <si>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</si>
  <si>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</si>
  <si>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</si>
  <si>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</si>
  <si>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</si>
  <si>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</si>
  <si>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</si>
  <si>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</si>
  <si>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</si>
  <si>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</si>
  <si>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</si>
  <si>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</si>
  <si>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</si>
  <si>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</si>
  <si>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</si>
  <si>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</si>
  <si>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</si>
  <si>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</si>
  <si>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</si>
  <si>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</si>
  <si>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</si>
  <si>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</si>
  <si>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</si>
  <si>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</si>
  <si>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</si>
  <si>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</si>
  <si>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</si>
  <si>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</si>
  <si>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</si>
  <si>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</si>
  <si>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</si>
  <si>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</si>
  <si>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</si>
  <si>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</si>
  <si>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</si>
  <si>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</si>
  <si>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</si>
  <si>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</si>
  <si>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</si>
  <si>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</si>
  <si>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</si>
  <si>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</si>
  <si>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</si>
  <si>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</si>
  <si>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</si>
  <si>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</si>
  <si>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</si>
  <si>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</si>
  <si>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</si>
  <si>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</si>
  <si>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</si>
  <si>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</si>
  <si>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</si>
  <si>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</si>
  <si>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</si>
  <si>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</si>
  <si>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</si>
  <si>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</si>
  <si>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</si>
  <si>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</si>
  <si>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</si>
  <si>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</si>
  <si>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</si>
  <si>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</si>
  <si>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</si>
  <si>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</si>
  <si>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</si>
  <si>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</si>
  <si>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</si>
  <si>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</si>
  <si>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</si>
  <si>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</si>
  <si>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</si>
  <si>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</si>
  <si>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</si>
  <si>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</si>
  <si>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</si>
  <si>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</si>
  <si>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</si>
  <si>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</si>
  <si>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</si>
  <si>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</si>
  <si>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</si>
  <si>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</si>
  <si>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</si>
  <si>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</si>
  <si>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</si>
  <si>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</si>
  <si>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</si>
  <si>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</si>
  <si>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</si>
  <si>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</si>
  <si>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</si>
  <si>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</si>
  <si>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</si>
  <si>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</si>
  <si>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</si>
  <si>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</si>
  <si>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</si>
  <si>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</si>
  <si>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</si>
  <si>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</si>
  <si>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</si>
  <si>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</si>
  <si>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</si>
  <si>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</si>
  <si>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</si>
  <si>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</si>
  <si>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</si>
  <si>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</si>
  <si>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</si>
  <si>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</si>
  <si>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</si>
  <si>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</si>
  <si>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</si>
  <si>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</si>
  <si>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</si>
  <si>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</si>
  <si>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</si>
  <si>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</si>
  <si>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</si>
  <si>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</si>
  <si>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</si>
  <si>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</si>
  <si>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</si>
  <si>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</si>
  <si>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</si>
  <si>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</si>
  <si>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</si>
  <si>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</si>
  <si>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</si>
  <si>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</si>
  <si>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</si>
  <si>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</si>
  <si>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</si>
  <si>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</si>
  <si>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</si>
  <si>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</si>
  <si>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</si>
  <si>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</si>
  <si>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</si>
  <si>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</si>
  <si>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</si>
  <si>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</si>
  <si>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</si>
  <si>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</si>
  <si>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</si>
  <si>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Beledi Közös Önkormányzati Hivatal*</t>
  </si>
  <si>
    <t>Államháztartáson belülre</t>
  </si>
  <si>
    <t>4. számú melléklet 1.5.3 és 2.3.2 sorainak részletezése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</si>
  <si>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</si>
  <si>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</si>
  <si>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</si>
  <si>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</si>
  <si>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</si>
  <si>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</si>
  <si>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</si>
  <si>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</si>
  <si>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</si>
  <si>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</si>
  <si>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</si>
  <si>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</si>
  <si>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</si>
  <si>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</si>
  <si>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</si>
  <si>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</si>
  <si>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</si>
  <si>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</si>
  <si>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Rábaköz Vidékfejlesztési Egyesület tagdíj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</si>
  <si>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</si>
  <si>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</si>
  <si>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</si>
  <si>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</si>
  <si>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</si>
  <si>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</si>
  <si>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</si>
  <si>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</si>
  <si>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</si>
  <si>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</si>
  <si>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</si>
  <si>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</si>
  <si>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</si>
  <si>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</si>
  <si>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</si>
  <si>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</si>
  <si>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</si>
  <si>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</si>
  <si>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</si>
  <si>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</si>
  <si>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</si>
  <si>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</si>
  <si>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</si>
  <si>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III.3 Egyes szociális és gyermekjóléti feladatok támogatás</t>
  </si>
  <si>
    <t>Lakott külterület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</si>
  <si>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</si>
  <si>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</si>
  <si>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</si>
  <si>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</si>
  <si>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</si>
  <si>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</si>
  <si>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</si>
  <si>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</si>
  <si>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</si>
  <si>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</si>
  <si>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</si>
  <si>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</si>
  <si>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</si>
  <si>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</si>
  <si>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</si>
  <si>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</si>
  <si>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</si>
  <si>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</si>
  <si>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</si>
  <si>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</si>
  <si>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</si>
  <si>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</si>
  <si>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</si>
  <si>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</si>
  <si>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</si>
  <si>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</si>
  <si>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</si>
  <si>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</si>
  <si>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</si>
  <si>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</si>
  <si>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</si>
  <si>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</si>
  <si>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</si>
  <si>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</si>
  <si>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</si>
  <si>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</si>
  <si>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</si>
  <si>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</si>
  <si>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</si>
  <si>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</si>
  <si>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</si>
  <si>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</si>
  <si>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</si>
  <si>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</si>
  <si>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</si>
  <si>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</si>
  <si>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</si>
  <si>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</si>
  <si>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</si>
  <si>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</si>
  <si>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</si>
  <si>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</si>
  <si>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</si>
  <si>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</si>
  <si>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</si>
  <si>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</si>
  <si>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</si>
  <si>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</si>
  <si>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</si>
  <si>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</si>
  <si>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</si>
  <si>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</si>
  <si>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</si>
  <si>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</si>
  <si>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</si>
  <si>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</si>
  <si>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</si>
  <si>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</si>
  <si>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</si>
  <si>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</si>
  <si>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</si>
  <si>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</si>
  <si>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ügyviteli, számtech. eszközök beszerzése</t>
  </si>
  <si>
    <t>01. Helyi önkormányzatok működésének általnos támogatása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</si>
  <si>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</si>
  <si>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</si>
  <si>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</si>
  <si>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</si>
  <si>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</si>
  <si>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</si>
  <si>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</si>
  <si>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4.3</t>
  </si>
  <si>
    <t>ebből: kisértékű eszköz beszerzése</t>
  </si>
  <si>
    <t>Telj.%</t>
  </si>
  <si>
    <t>3.5</t>
  </si>
  <si>
    <t>3.5.1</t>
  </si>
  <si>
    <t>3.5.2</t>
  </si>
  <si>
    <t>3.5.3</t>
  </si>
  <si>
    <t>Helyi önkormányzatok kiegészítő támogatása</t>
  </si>
  <si>
    <t>ebből: Vicai Kat.Egyház</t>
  </si>
  <si>
    <t>Tűzoltóegyesület</t>
  </si>
  <si>
    <t>Vicai Ifjúsági Egyesület</t>
  </si>
  <si>
    <t>Delta Testépítő Klub</t>
  </si>
  <si>
    <t>Tégy a Tehetségért Alapítvány</t>
  </si>
  <si>
    <t>Beledi Ifjúsági Egyesület</t>
  </si>
  <si>
    <t>Beledi Evangélikus Egyház</t>
  </si>
  <si>
    <t>Beled Jövőjéért Egyesület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</si>
  <si>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</si>
  <si>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</si>
  <si>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</si>
  <si>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</si>
  <si>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</si>
  <si>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Közutak üzemeltetése, fenntartása</t>
  </si>
  <si>
    <t>Egyéb szárazföldi személyszállítás</t>
  </si>
  <si>
    <t>Közvilágítási feladatok</t>
  </si>
  <si>
    <t>Város- és községgazdálkodás</t>
  </si>
  <si>
    <t>Katasztrófavédelmi tevékenység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</si>
  <si>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</si>
  <si>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</si>
  <si>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</si>
  <si>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</si>
  <si>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</si>
  <si>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</si>
  <si>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</si>
  <si>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</si>
  <si>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</si>
  <si>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</si>
  <si>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</si>
  <si>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</si>
  <si>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</si>
  <si>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</si>
  <si>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</si>
  <si>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</si>
  <si>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</si>
  <si>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</si>
  <si>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</si>
  <si>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</si>
  <si>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</si>
  <si>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</si>
  <si>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</si>
  <si>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</si>
  <si>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Zöldterület kezelése</t>
  </si>
  <si>
    <t>11. számú melléklet</t>
  </si>
  <si>
    <t>teljesítés</t>
  </si>
  <si>
    <t>Önkormányzat adósságot keletkeztető ügyletekből és kezességvállalásokból fennálló kötelezettségei</t>
  </si>
  <si>
    <t>MEGNEVEZÉS</t>
  </si>
  <si>
    <t>Évek</t>
  </si>
  <si>
    <t>10.</t>
  </si>
  <si>
    <t>ÖSSZES KÖTELEZETTSÉG</t>
  </si>
  <si>
    <t>11.</t>
  </si>
  <si>
    <t>12.</t>
  </si>
  <si>
    <t>13.</t>
  </si>
  <si>
    <t>14.</t>
  </si>
  <si>
    <t>15.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</si>
  <si>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</si>
  <si>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</si>
  <si>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</si>
  <si>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</si>
  <si>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</si>
  <si>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</si>
  <si>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</si>
  <si>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</si>
  <si>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</si>
  <si>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</si>
  <si>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</si>
  <si>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</si>
  <si>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Kedvezmények összesen</t>
  </si>
  <si>
    <t>Étkezési díj</t>
  </si>
  <si>
    <t>Gondozási díj</t>
  </si>
  <si>
    <t>ÁH belüli megelőlegezések visszafizetései</t>
  </si>
  <si>
    <t>6.3</t>
  </si>
  <si>
    <t>I.6. előző évről áthúzódó bérkompenzáció</t>
  </si>
  <si>
    <t>Beled Ált.Isk.Diákönk.</t>
  </si>
  <si>
    <t>egyéb</t>
  </si>
  <si>
    <t>Lövészklub (MTTSZ)</t>
  </si>
  <si>
    <t>telj. %</t>
  </si>
  <si>
    <t>Nyári gyermekétkeztetés (3.m.I.3.)</t>
  </si>
  <si>
    <t>Könyvtári érdekeltségnövelő támogatás (IV. 1.i.)</t>
  </si>
  <si>
    <t>mód. IV.</t>
  </si>
  <si>
    <t>Gyermekvédelmi Erzsébet utalvány</t>
  </si>
  <si>
    <t>Szociális ágazati pótlék kiegészítő támogatás</t>
  </si>
  <si>
    <t>mód. V.</t>
  </si>
  <si>
    <t>Nagycenk Nagyközség Önkormányzata</t>
  </si>
  <si>
    <t>Egészséges Óvodás Gyermekekért Alapítvány</t>
  </si>
  <si>
    <t>Államháztartáson belüli megelőlegezések</t>
  </si>
  <si>
    <t xml:space="preserve">Forintban </t>
  </si>
  <si>
    <t>Irányítószervi (önkormányzati) támogatás</t>
  </si>
  <si>
    <t>Ft-ban</t>
  </si>
  <si>
    <t>Ifjúság utca felújítása</t>
  </si>
  <si>
    <t>Szociális tűzifa (2015. évről áthúzódó)</t>
  </si>
  <si>
    <t>3 a.) Család- és gyermekjóléti szolgálat</t>
  </si>
  <si>
    <t>3 c.) Szociális étkeztetés</t>
  </si>
  <si>
    <t>3 f.) Időskorúak nappali intézményi ellátása</t>
  </si>
  <si>
    <t xml:space="preserve">III. 5. c. A rászoruló gyermekek intézményen kívüli szünidei étkeztetésének támogatása 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</si>
  <si>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</si>
  <si>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</si>
  <si>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</si>
  <si>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</si>
  <si>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</si>
  <si>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Forgatási  célú belföldi értékpapírok vásárlása</t>
  </si>
  <si>
    <t>Forgatási célú értékpapírok vásárlása</t>
  </si>
  <si>
    <t>Felhalmozási célú egyéb átvett pénzeszközök államháztartáson kívűlről</t>
  </si>
  <si>
    <t>2. Felhalmozási célú egyéb átvett pénzeszközök államháztartáson kívűlről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</si>
  <si>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</si>
  <si>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</si>
  <si>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</si>
  <si>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</si>
  <si>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</si>
  <si>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</si>
  <si>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</si>
  <si>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</si>
  <si>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</si>
  <si>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</si>
  <si>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</si>
  <si>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</si>
  <si>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</si>
  <si>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</si>
  <si>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 xml:space="preserve">Finanszírozási műveletek </t>
  </si>
  <si>
    <t>adatok Ft-ban</t>
  </si>
  <si>
    <t>Működési célú költségvetési támogatások és kiegészítő támogatások</t>
  </si>
  <si>
    <t xml:space="preserve">Véglegesen és átmeneti jelleggel átadott pénzeszközök </t>
  </si>
  <si>
    <t>Véglegesen átadott pénzeszközök</t>
  </si>
  <si>
    <t>Közvetített szolgáltatok ellenértéke</t>
  </si>
  <si>
    <t>Vadászati jog bérbeadéséból származó jövedelem</t>
  </si>
  <si>
    <t>Orvosi ügyelet - Kapuvár Városi Önkormányzat</t>
  </si>
  <si>
    <t>Orvosi ügyelet - Többcélú Társulás Kapuvár</t>
  </si>
  <si>
    <t>Beledi Katolikus Egyház</t>
  </si>
  <si>
    <t>Régi Beledi Baráti Kör</t>
  </si>
  <si>
    <t>Civil szervezetek támogatása (képviselői felajánlásból)</t>
  </si>
  <si>
    <t>Egyházak támogatása (képviselői felajánlásból)</t>
  </si>
  <si>
    <t>Rendkívüli önkormányzati támogatás (Kvtv. 3. melléklet III. a) pont)</t>
  </si>
  <si>
    <t>Iparűzési adó - állandó jellegggel végzett</t>
  </si>
  <si>
    <t>Települési hulladékgazdálkodási feladatok</t>
  </si>
  <si>
    <t>Szociális és gyermekjóléti ellátások</t>
  </si>
  <si>
    <t>Települési támogatás - gyógszertámogatás (Szt. 45. § (1) bek.)</t>
  </si>
  <si>
    <t>Települési támogatás - temetési támogatás (Szt. 45. § (1) bek.)</t>
  </si>
  <si>
    <t>Rendkívüli települési támogatás (Szt. 45. § (4)-(5) bek.)</t>
  </si>
  <si>
    <t>Köztemetés (Szt. 48. §)</t>
  </si>
  <si>
    <t>Bursa Hungarica Felsőoktaqtási Önkormányzati Ösztöndíj</t>
  </si>
  <si>
    <t>Szünidei gyermekétkeztetés (Gyvt. 21/C. §)</t>
  </si>
  <si>
    <t>Beled Sportegyesület "rezsitámogatás"</t>
  </si>
  <si>
    <t>Rendőrörs - Rábakecöl Községi Önkormányzat</t>
  </si>
  <si>
    <t>Tárgyi eszközök értékesítése</t>
  </si>
  <si>
    <t>3 da.) Házi segítégnyújtás - szociális segítés</t>
  </si>
  <si>
    <t>3 db.) Házi segítégnyújtás - személyi gondozás</t>
  </si>
  <si>
    <t>3 jb.) Családi bölcsőde</t>
  </si>
  <si>
    <t>III. m. Pszichiátriai betegek részére nyújtott közösségi alapellátás - alaptámogatás</t>
  </si>
  <si>
    <t>III. m.Pszichiátriai betegek részére nyújtott közösségi alapellátás - teljesíménytámogatás</t>
  </si>
  <si>
    <t>III. m.Pszichiátriai betegek részére nyújtott közösségi alapellátás</t>
  </si>
  <si>
    <t>Forgatási célú értékpapírból származó bevétel</t>
  </si>
  <si>
    <t xml:space="preserve">BERUHÁZÁSOK (ÁFA-val) </t>
  </si>
  <si>
    <t>Beledi Katolikus Egyházközség</t>
  </si>
  <si>
    <t>Beledi Evangélikus Egyházközség</t>
  </si>
  <si>
    <t>III.1. Szociális ágazati összevont pótlék</t>
  </si>
  <si>
    <t>Beled Sportegyesület műfüves pálya műszaki ellenőrzése</t>
  </si>
  <si>
    <t>Kisfaludi Vadaspark Egyesület és Baráti Kör</t>
  </si>
  <si>
    <t>Foki Nikolett Gyógyulásáért Alapítvány</t>
  </si>
  <si>
    <t>Önkormányzati vagyongazdálkodással kapcsolatos feladatok</t>
  </si>
  <si>
    <t>Informatikai fejlesztések, szolgáltatások</t>
  </si>
  <si>
    <t>Biztosítás kárfizetés</t>
  </si>
  <si>
    <t>2.8</t>
  </si>
  <si>
    <t>Természetbeni támogatás Gyvt. 20/a §. (Erzsébet utalvány)</t>
  </si>
  <si>
    <t>Magyar Technikai és Tömegsport Szövetség Beledi Klubja</t>
  </si>
  <si>
    <t>Önkormányzaton belül megvalósuló projektek (támogatási szerződéssel rendelkező)</t>
  </si>
  <si>
    <t xml:space="preserve">Bevételek </t>
  </si>
  <si>
    <t xml:space="preserve">Kiadások </t>
  </si>
  <si>
    <t>Projekt megvalósítás</t>
  </si>
  <si>
    <t>Beled Város Középületeinek energetikai korszerűsítése</t>
  </si>
  <si>
    <t>Összes bevétel</t>
  </si>
  <si>
    <t>Összes kiadás</t>
  </si>
  <si>
    <t>Helyi termelői piac kialakítása Beleden</t>
  </si>
  <si>
    <t xml:space="preserve">Támogatás </t>
  </si>
  <si>
    <t>Közlekedésfejlesztés Beled városában</t>
  </si>
  <si>
    <t>Beled Város Önkormányzata ASP központhoz való csatlakozása</t>
  </si>
  <si>
    <t>Saját forrás</t>
  </si>
  <si>
    <t>Emberi Erőforrás Támogatáskezelő</t>
  </si>
  <si>
    <t>Fidesz-Magyar Polgári Szövetség</t>
  </si>
  <si>
    <t>Beled Város Önkéntes Tűzolt Egyesülete</t>
  </si>
  <si>
    <t>Beledi Asztalitenisz és Tenisz Klub</t>
  </si>
  <si>
    <t xml:space="preserve">Beledi Sportegyesület </t>
  </si>
  <si>
    <t>Beledi Általános Iskola Diákönkormányzata</t>
  </si>
  <si>
    <t>Tetelepülési Önkormányzatok Országos Szövetsége tagíj</t>
  </si>
  <si>
    <t>Közúti személyszállítás (kerékpárút)</t>
  </si>
  <si>
    <t>Lakásfenntartással, lakhatással összefüggő ellátások (szociális tűzifa)</t>
  </si>
  <si>
    <t>Államháztartáson belüli megelőlegezés</t>
  </si>
  <si>
    <t>Önkormányzat összevont 2018. évi bevételi előirányzatai</t>
  </si>
  <si>
    <t>Önkormányzat 2018. évi bevételi előirányzatai</t>
  </si>
  <si>
    <t>Önkormányzat 2018. évi kiadási előirányzatai</t>
  </si>
  <si>
    <t>Önkormányzat költségvetési szerveinek 2018. évi létszámkerete</t>
  </si>
  <si>
    <t>2018. január 1.</t>
  </si>
  <si>
    <t xml:space="preserve">2018. év </t>
  </si>
  <si>
    <t>2018. év</t>
  </si>
  <si>
    <t>Beledi Szociális és Gyermekjóléti Társulás 2018. évi hozzájárulás</t>
  </si>
  <si>
    <t>2018. évi előirányzat</t>
  </si>
  <si>
    <t>A 2018. évi általános működési és ágazati feladatok támogatásának alakulása jogcímenként</t>
  </si>
  <si>
    <t>Kulturális ágazati pótlék (8/2018. (I. 23.) Korm.rendelet)</t>
  </si>
  <si>
    <t>2018.</t>
  </si>
  <si>
    <t>KÖFOP-1.2.1-VEKOP-16-2018-00870</t>
  </si>
  <si>
    <t>Szociális tűzifa (2017)</t>
  </si>
  <si>
    <t>Beledi Szociális és Gyermekjóléti Társulás 2017. évi hozzájárulás elszámolás</t>
  </si>
  <si>
    <t>TOP-3.2.1-15-GM1-2017-00033</t>
  </si>
  <si>
    <t>TOP-1.1.3-15-GM1-2017-00008</t>
  </si>
  <si>
    <t>TOP-3.1.1-15GM1-2017-00013</t>
  </si>
  <si>
    <t>szék beszerzése művelődési házba</t>
  </si>
  <si>
    <t>fűnyíró beszerzése óvodába</t>
  </si>
  <si>
    <t xml:space="preserve">2. számú melléklet </t>
  </si>
  <si>
    <t xml:space="preserve">3. számú melléklet </t>
  </si>
  <si>
    <t xml:space="preserve">4. számú melléklet </t>
  </si>
  <si>
    <t>Díszkút vásárlása</t>
  </si>
  <si>
    <t>Településrendezési terv készítése</t>
  </si>
  <si>
    <t>Kerékpár vásárlása védőnők részére</t>
  </si>
  <si>
    <t>Nyomtató vásárlása védőnők részére</t>
  </si>
  <si>
    <t xml:space="preserve">TOP-3.1.1-15-GM1-2016-00013 Közlekedésfejlesztés Beled városában </t>
  </si>
  <si>
    <t>TOP-1.1.3-15-GM1-2016-00008 Helyi termelői piac kialakítása Beleden</t>
  </si>
  <si>
    <t>Kerékpártároló kialakítása</t>
  </si>
  <si>
    <t>EFOP-1.5.2 eszközbeszerzések</t>
  </si>
  <si>
    <t>Holokauszt emlékműhöz kamera vásárlása</t>
  </si>
  <si>
    <t xml:space="preserve">TOP-3.2.1-15-GM1-2016-00033 Beled Város középületeinek energetikai korszerűsítése </t>
  </si>
  <si>
    <t>Óvoda felújítása</t>
  </si>
  <si>
    <t>Ravatalozó felújítása</t>
  </si>
  <si>
    <t>Járdafelújítás áthúzódó Vica + Beled Fő utca)</t>
  </si>
  <si>
    <t>Járdafelújítás BM pályázat</t>
  </si>
  <si>
    <t>Orvosi rendelő előtti parkoló felújítása</t>
  </si>
  <si>
    <t>Pacsirta utca útfelújítása</t>
  </si>
  <si>
    <t>EFOP-1.5.2 művelődési ház felújítása</t>
  </si>
  <si>
    <t>Gyöngyvirág üzletház</t>
  </si>
  <si>
    <t>Óvoda sószoba és egyéb berendezése</t>
  </si>
  <si>
    <t>H</t>
  </si>
  <si>
    <t>Vörösmarty utca út- és járdafelújítás tervezése</t>
  </si>
  <si>
    <t>TOP pályázat - Piac kialakítása</t>
  </si>
  <si>
    <t>TOP pályázat - Kerékpárút kialakítása</t>
  </si>
  <si>
    <t>TOP pályázat- energetikai korszerűsítés</t>
  </si>
  <si>
    <t>Intézményen kívüli gyermekétkeztetés (szünidei)</t>
  </si>
  <si>
    <t>EFOP-1.5.2 pályázat - Humán szolgáltatások fejlesztése</t>
  </si>
  <si>
    <t>Beled Sportegyesület</t>
  </si>
  <si>
    <t>Fogorvosi ügyelet Soproni Szociális Intézmény</t>
  </si>
  <si>
    <t>Mozgáskorlátozottak Győr-Moson-Sopron Megyei Egyesülete</t>
  </si>
  <si>
    <t>ASP rendszer működtetésében résztvevők támogatása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</si>
  <si>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</si>
  <si>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</si>
  <si>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</si>
  <si>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</si>
  <si>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</si>
  <si>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A</t>
  </si>
  <si>
    <t>C</t>
  </si>
  <si>
    <t>D</t>
  </si>
  <si>
    <t>E</t>
  </si>
  <si>
    <t>G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</si>
  <si>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</si>
  <si>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</si>
  <si>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</si>
  <si>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</si>
  <si>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</si>
  <si>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2016</t>
  </si>
  <si>
    <t>2017. évi Pünkösdi Fesztivál előkészítése, lebonyolítása 152/2016. (XII. 21.) határozat szerint</t>
  </si>
  <si>
    <t>Ravatalozó előtető felújítása</t>
  </si>
  <si>
    <t>TOP-3.1.1-15 Kerékpárút építése</t>
  </si>
  <si>
    <t>TOP-1.1.3-15 helyi termelői piac kialakítása Beleden</t>
  </si>
  <si>
    <t>Felújítási kiadások felújításonként</t>
  </si>
  <si>
    <t>TOP-3.2.1-15 Beled város középületeinek energetikai korszerűsítése (konyha, hivatal épülete)</t>
  </si>
  <si>
    <t>16.</t>
  </si>
  <si>
    <t>17.</t>
  </si>
  <si>
    <t>Egyéb (Pl.: garancia és kezességvállalás, stb.)</t>
  </si>
  <si>
    <t>18.</t>
  </si>
  <si>
    <t>19.</t>
  </si>
  <si>
    <t>2019.</t>
  </si>
  <si>
    <t>2020.</t>
  </si>
  <si>
    <t>2020. után</t>
  </si>
  <si>
    <t>2018. előtti kifizetés</t>
  </si>
  <si>
    <t>2017</t>
  </si>
  <si>
    <t>Járdafelújítás BM pályázat (támogatás összege 15 mFt)</t>
  </si>
  <si>
    <t>20.</t>
  </si>
  <si>
    <t xml:space="preserve">Összesen </t>
  </si>
  <si>
    <t>Hiteltörlesztés (2016. évi)</t>
  </si>
  <si>
    <t xml:space="preserve">1. számú melléklet </t>
  </si>
  <si>
    <t>Elszámolásból származó bevétel</t>
  </si>
  <si>
    <t>Kerékpáros pihenő világítása</t>
  </si>
  <si>
    <t>Udvari játék képviselői felajánlásból</t>
  </si>
  <si>
    <t>Fészekhinta képviselői felajánlásból</t>
  </si>
  <si>
    <t>Magasnyomású mosó vásárlása</t>
  </si>
  <si>
    <t>Microsoft Office beszerzése</t>
  </si>
  <si>
    <t>informatikai eszközök beszerzése könyvtárba</t>
  </si>
  <si>
    <t>porszívó beszerzése tornacsarnokba</t>
  </si>
  <si>
    <t>fénymásoló beszerzés művelődési házba</t>
  </si>
  <si>
    <t>konyhai berendezések vásárlása óvodába</t>
  </si>
  <si>
    <t>Bútor beszerzése óvodába</t>
  </si>
  <si>
    <t>szenzoros szemetes beszerzése óvodába</t>
  </si>
  <si>
    <t>ablaktiszító berendezés beszerzése óvodába</t>
  </si>
  <si>
    <t>tablet vásárlása óvodába</t>
  </si>
  <si>
    <t>fűkasza vásárlása óvodába</t>
  </si>
  <si>
    <t>Magyar Máltai Szeretetszolgálat</t>
  </si>
  <si>
    <t>Önkormányzati bérkompenzáció</t>
  </si>
  <si>
    <t>Települési önkormányzatok szociális célú tüzelőanyag vásárlásának kiegészítő támogatása</t>
  </si>
  <si>
    <t xml:space="preserve">5.2 számú melléklet </t>
  </si>
  <si>
    <t xml:space="preserve">5.1 számú melléklet </t>
  </si>
  <si>
    <t>2018. június 30.</t>
  </si>
  <si>
    <t>óvoda tűzjelző rendszer kiépítése</t>
  </si>
  <si>
    <t>napközi konyhára beépítésre kerülő berendezések</t>
  </si>
  <si>
    <t>napközi konyhára kiszolgáló pult felújítása</t>
  </si>
  <si>
    <t>internet kiépítéséhez eszközök beszerzése</t>
  </si>
  <si>
    <t>konyhai kiegészítők beszerzése bölcsődébe</t>
  </si>
  <si>
    <t>mosógép, szárítógép beszerzése bölcsődébe</t>
  </si>
  <si>
    <t>vasaló vásárlása óvdába</t>
  </si>
  <si>
    <t>öltözőszekrény beszerzése konyhára</t>
  </si>
  <si>
    <t>eszközök,felszerelések beszerzése bölcsődébe (CD lejátszó, porszívó, vasaló stb.)</t>
  </si>
  <si>
    <t>bútorok vásárlása bölcsődébe</t>
  </si>
  <si>
    <t>Országos Mentőszolgálat Alapítvány</t>
  </si>
  <si>
    <t>Magyar Államkincstár - TOP-3.1.1-15-GM1-2016-00013 "Közlekedésfejlesztés Beled városában"</t>
  </si>
  <si>
    <t>III.7. Bölcsőde bértámogatás</t>
  </si>
  <si>
    <t>porszívó beszerzése</t>
  </si>
  <si>
    <t>babaház vásárlás</t>
  </si>
  <si>
    <t>Bosch egyajtós hűtőszekrény konyhára</t>
  </si>
  <si>
    <t>Zanussi elektromos tűzhely konyhára</t>
  </si>
  <si>
    <t>Gurulós állványok beszerzése könyvtárba</t>
  </si>
  <si>
    <t>2 db íróasztal beszerzése</t>
  </si>
  <si>
    <t>2018. december 31.</t>
  </si>
  <si>
    <t>nettó</t>
  </si>
  <si>
    <t>áfa</t>
  </si>
  <si>
    <t>Lombszívó, lombfújó</t>
  </si>
  <si>
    <t>látásvizsgáló védőnőknek</t>
  </si>
  <si>
    <t>orvosi rendelő nyílászáró áthúzódó</t>
  </si>
  <si>
    <t>zsidó temető</t>
  </si>
  <si>
    <t>Út, autópálya építése</t>
  </si>
  <si>
    <t>Egyéb szociális ellátások (szociális tűzifa)</t>
  </si>
  <si>
    <t>Beledi Általános Iskola Diákjaiért Közalapítvány 2017. évi áthúzódó</t>
  </si>
  <si>
    <t>Telepüési Önkormányzatok Országos Szövetsége</t>
  </si>
  <si>
    <t>Magyar Védőnők Egyesülete</t>
  </si>
  <si>
    <t xml:space="preserve">Beledi Általános Iskola Diákjaiért Közalapítvány </t>
  </si>
  <si>
    <t>Móvár Nagytérségi Hulladékgazdálkodási Társulás</t>
  </si>
  <si>
    <t>Téli Rezsicsökkentésben korábban nem részesült háztartások támogatása</t>
  </si>
  <si>
    <t>Szociális tüzelőanyag támogatása</t>
  </si>
  <si>
    <t>VP6-7.2.1-7.4.1.2-16 kódszámú "A vidéki térségek kismértékű infrastruktúrájának és alapvető szolgáltatásainak fejlesztésére - Külterületi helyi közutak fejlesztése, önkormányzati utak kezeléséhez, állapotjavításához szükséges erő- és munkagépek beszerzése. Támogatás összege: 19.340.856</t>
  </si>
  <si>
    <t>Óvoda épületének felújítása</t>
  </si>
  <si>
    <t xml:space="preserve">Európai Uniós támogatással megvalósuló  programok, projektek bevételei és kiadásai  </t>
  </si>
  <si>
    <t>VP6-7.2.1-7.4.1.2-16</t>
  </si>
  <si>
    <t>2017-2019</t>
  </si>
  <si>
    <t>A vidéki térségek kismértékű infrastruktúrájának és alapvető szolgáltatásainak fejlesztésére - Külterületi helyi közutak fejlesztése, önkormányzati utak kezeléséhez, állapotjavításához szükséges erő- és munkagépek beszerzése (konzorciumban Dénesfa Község Önkormányzatával)</t>
  </si>
  <si>
    <t>2018. évi belső forrásból fedezhető működési hiány</t>
  </si>
  <si>
    <t xml:space="preserve">2018. évi belső  forrásból fedezhető felhalmozási hiány </t>
  </si>
  <si>
    <t>2018. évi belső forrásból fedezhető összes hiány (1.+2.)</t>
  </si>
  <si>
    <t xml:space="preserve">2018. évi külső forrásból fedezhető működési hiány </t>
  </si>
  <si>
    <t xml:space="preserve">2018. évi külső forrásból fedezhető felhalmozási hiány </t>
  </si>
  <si>
    <t>2018. évi külső forrásból fedezhető összes hiány (1.+2.)</t>
  </si>
  <si>
    <t>ventilátor beszerzése könyvtárba</t>
  </si>
  <si>
    <t>Központi támogatás</t>
  </si>
  <si>
    <t>"Előre" Horgász Egyesület</t>
  </si>
  <si>
    <t>"Előre" Horgász Egyesület 2017. évről áthúzódó</t>
  </si>
  <si>
    <t>kapott támogatás</t>
  </si>
  <si>
    <t>elszámolás szerint megillető támogatás</t>
  </si>
  <si>
    <t>felhasznált támogatás</t>
  </si>
  <si>
    <t>támogatás kiutalás (+) / visszafizetés (-)</t>
  </si>
  <si>
    <t>következő évben jogszerűen felhasználható támogatási összeg</t>
  </si>
  <si>
    <t>Gazdasági Társaság</t>
  </si>
  <si>
    <t>Részesedések állománya</t>
  </si>
  <si>
    <t>Pannon-Víz Zrt.</t>
  </si>
  <si>
    <t>Beled COOP Kereskedelmi és Szolgáltató Rt</t>
  </si>
  <si>
    <t>22. számú melléklet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</si>
  <si>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</si>
  <si>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</si>
  <si>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Forintszámla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</si>
  <si>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</si>
  <si>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r>
      <t xml:space="preserve"> </t>
    </r>
    <r>
      <rPr>
        <sz val="10"/>
        <rFont val="Times New Roman CE"/>
        <family val="1"/>
      </rPr>
      <t>Devizaszámla egyenlege</t>
    </r>
  </si>
  <si>
    <r>
      <t xml:space="preserve"> </t>
    </r>
    <r>
      <rPr>
        <sz val="10"/>
        <rFont val="Times New Roman CE"/>
        <family val="1"/>
      </rPr>
      <t>Lekötött bankbetétek</t>
    </r>
  </si>
  <si>
    <t>16. számú melléklet</t>
  </si>
  <si>
    <t>Az önkormányzat által felvett adósságállomány alakulása</t>
  </si>
  <si>
    <t>lejárat és eszközök szerinti bontásban</t>
  </si>
  <si>
    <t xml:space="preserve">Adatok  forintban </t>
  </si>
  <si>
    <t>Hitel jellege</t>
  </si>
  <si>
    <t>Hitel folyósítója</t>
  </si>
  <si>
    <t>Felvétel</t>
  </si>
  <si>
    <t xml:space="preserve">Lejárat </t>
  </si>
  <si>
    <t>Hitelállomány dec. 31-én</t>
  </si>
  <si>
    <t xml:space="preserve"> éve</t>
  </si>
  <si>
    <t>éve</t>
  </si>
  <si>
    <t xml:space="preserve">Működési célú </t>
  </si>
  <si>
    <t>Igénybevett folyószámla hitel</t>
  </si>
  <si>
    <t>Felhalmozási célú</t>
  </si>
  <si>
    <t>Fejlesztési célú hosszú lejáratú hitel Ifjúság utca útfelújításához</t>
  </si>
  <si>
    <t>Kis-Rába Menti Tak.Szöv.</t>
  </si>
  <si>
    <t>2016.</t>
  </si>
  <si>
    <t>Beled Város Önkormányzata</t>
  </si>
  <si>
    <t>Adatok:  forintban!</t>
  </si>
  <si>
    <t>ESZKÖZÖK</t>
  </si>
  <si>
    <t>Bruttó</t>
  </si>
  <si>
    <t>Nettó</t>
  </si>
  <si>
    <t xml:space="preserve"> érték</t>
  </si>
  <si>
    <t xml:space="preserve">A </t>
  </si>
  <si>
    <t xml:space="preserve"> I. Immateriális javak (02+03+04+05)</t>
  </si>
  <si>
    <t>01.</t>
  </si>
  <si>
    <t>1.1. Forgalomképtelen immateriális javak</t>
  </si>
  <si>
    <t>02.</t>
  </si>
  <si>
    <t>1.2. Nemzetgazdasági szempontból kiemelt jelentőségű  immateriális javak
       vagyoni értékű jogok</t>
  </si>
  <si>
    <t>03.</t>
  </si>
  <si>
    <t>1.3. Korlátozottan forgalomképes immateriális javak</t>
  </si>
  <si>
    <t>04.</t>
  </si>
  <si>
    <t>1.4. Üzleti ingatlanok és kapcsolódó  immateriális javak</t>
  </si>
  <si>
    <t>05.</t>
  </si>
  <si>
    <t>II. Tárgyi eszközök (07+12+17+22+27)</t>
  </si>
  <si>
    <t>06.</t>
  </si>
  <si>
    <t>1. Ingatlanok és kapcsolódó vagyoni értékű jogok   (08+09+10+11)</t>
  </si>
  <si>
    <t>07.</t>
  </si>
  <si>
    <t>1.1. Forgalomképtelen ingatlanok és kapcsolódó vagyoni értékű jogok</t>
  </si>
  <si>
    <t>08.</t>
  </si>
  <si>
    <t>1.2. Nemzetgazdasági szempontból kiemelt jelentőségű ingatlanok és kapcsolódó 
       vagyoni értékű jogok</t>
  </si>
  <si>
    <t>09.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</si>
  <si>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</si>
  <si>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</si>
  <si>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(13+14+15+16)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</si>
  <si>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</si>
  <si>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</si>
  <si>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</si>
  <si>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</si>
  <si>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(18+19+20+21)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</si>
  <si>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</si>
  <si>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</si>
  <si>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</si>
  <si>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</si>
  <si>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21.</t>
  </si>
  <si>
    <t>4. Beruházások, felújítások (23+24+25+26)</t>
  </si>
  <si>
    <t>22.</t>
  </si>
  <si>
    <t>4.1. Forgalomképtelen beruházások, felújítások</t>
  </si>
  <si>
    <t>23.</t>
  </si>
  <si>
    <t>4.2. Nemzetgazdasági szempontból kiemelt jelentőségű beruházások, felújítások</t>
  </si>
  <si>
    <t>24.</t>
  </si>
  <si>
    <t>4.3. Korlátozottan forgalomképes beruházások, felújítások</t>
  </si>
  <si>
    <t>25.</t>
  </si>
  <si>
    <t>4.4. Üzleti beruházások, felújítások</t>
  </si>
  <si>
    <t>26.</t>
  </si>
  <si>
    <t>5. Tárgyi eszközök értékhelyesbítése (28+29+30+31)</t>
  </si>
  <si>
    <t>27.</t>
  </si>
  <si>
    <t>5.1. Forgalomképtelen tárgyi eszközök értékhelyesbítése</t>
  </si>
  <si>
    <t>28.</t>
  </si>
  <si>
    <t>5.2. Nemzetgazdasági szempontból kiemelt jelentőségű tárgyi eszközök 
       értékhelyesbítése</t>
  </si>
  <si>
    <t>29.</t>
  </si>
  <si>
    <t>5.3. Korlátozottan forgalomképes tárgyi eszközök értékhelyesbítése</t>
  </si>
  <si>
    <t>30.</t>
  </si>
  <si>
    <t>5.4. Üzleti tárgyi eszközök értékhelyesbítése</t>
  </si>
  <si>
    <t>31.</t>
  </si>
  <si>
    <t>III. Befektetett pénzügyi eszközök (33+38+43)</t>
  </si>
  <si>
    <t>32.</t>
  </si>
  <si>
    <t>1. Tartós részesedések (34+35+36+37)</t>
  </si>
  <si>
    <t>33.</t>
  </si>
  <si>
    <t>1.1. Forgalomképtelen tartós részesedések</t>
  </si>
  <si>
    <t>34.</t>
  </si>
  <si>
    <t>1.2. Nemzetgazdasági szempontból kiemelt jelentőségű tartós részesedések</t>
  </si>
  <si>
    <t>35.</t>
  </si>
  <si>
    <t>1.3. Korlátozottan forgalomképes tartós részesedések</t>
  </si>
  <si>
    <t>36.</t>
  </si>
  <si>
    <t>1.4. Üzleti tartós részesedések</t>
  </si>
  <si>
    <t>37.</t>
  </si>
  <si>
    <t>2. Tartós hitelviszonyt megtestesítő értékpapírok (39+40+41+42)</t>
  </si>
  <si>
    <t>38.</t>
  </si>
  <si>
    <t>2.1. Forgalomképtelen tartós hitelviszonyt megtestesítő értékpapírok</t>
  </si>
  <si>
    <t>39.</t>
  </si>
  <si>
    <t>2.2. Nemzetgazdasági szempontból kiemelt jelentőségű tartós hitelviszonyt 
       megtestesítő értékpapírok</t>
  </si>
  <si>
    <t>40.</t>
  </si>
  <si>
    <t>2.3. Korlátozottan forgalomképes tartós hitelviszonyt megtestesítő értékpapírok</t>
  </si>
  <si>
    <t>41.</t>
  </si>
  <si>
    <t>2.4. Üzleti tartós hitelviszonyt megtestesítő értékpapírok</t>
  </si>
  <si>
    <t>42.</t>
  </si>
  <si>
    <t>3. Befektetett pénzügyi eszközök értékhelyesbítése (44+45+46+47)</t>
  </si>
  <si>
    <t>43.</t>
  </si>
  <si>
    <t>3.1. Forgalomképtelen befektetett pénzügyi eszközök értékhelyesbítése</t>
  </si>
  <si>
    <t>44.</t>
  </si>
  <si>
    <t>3.2. Nemzetgazdasági szempontból kiemelt jelentőségű befektetett pénzügyi 
       eszközök értékhelyesbítése</t>
  </si>
  <si>
    <t>45.</t>
  </si>
  <si>
    <t>3.3. Korlátozottan forgalomképes befektetett pénzügyi eszközök értékhelyesbítése</t>
  </si>
  <si>
    <t>46.</t>
  </si>
  <si>
    <t>3.4. Üzleti befektetett pénzügyi eszközök értékhelyesbítése</t>
  </si>
  <si>
    <t>47.</t>
  </si>
  <si>
    <t>IV. Koncesszióba, vagyonkezelésbe adott eszközök</t>
  </si>
  <si>
    <t>48.</t>
  </si>
  <si>
    <t>A) NEMZETI VAGYONBA TARTOZÓ BEFEKTETETT ESZKÖZÖK 
     (01+06+32+48)</t>
  </si>
  <si>
    <t>49.</t>
  </si>
  <si>
    <t>I. Készletek</t>
  </si>
  <si>
    <t>50.</t>
  </si>
  <si>
    <t>II. Értékpapírok</t>
  </si>
  <si>
    <t>51.</t>
  </si>
  <si>
    <t>B) NEMZETI VAGYONBA TARTOZÓ FORGÓESZKÖZÖK (50+51)</t>
  </si>
  <si>
    <t>52.</t>
  </si>
  <si>
    <t>I. Lekötött bankbetétek</t>
  </si>
  <si>
    <t>53.</t>
  </si>
  <si>
    <t>II. Pénztárak, csekkek, betétkönyvek</t>
  </si>
  <si>
    <t>54.</t>
  </si>
  <si>
    <t>III. Forintszámlák</t>
  </si>
  <si>
    <t>55.</t>
  </si>
  <si>
    <t>IV. Devizaszámlák</t>
  </si>
  <si>
    <t>56.</t>
  </si>
  <si>
    <t>V. Idegen pénzeszköz</t>
  </si>
  <si>
    <t>57.</t>
  </si>
  <si>
    <t>C) PÉNZESZKÖZÖK (53+54+55+56+57)</t>
  </si>
  <si>
    <t>58.</t>
  </si>
  <si>
    <t>I. Költségvetési évben esedékes követelések</t>
  </si>
  <si>
    <t>59.</t>
  </si>
  <si>
    <t>II. Költségvetési évet követően esedékes követelések</t>
  </si>
  <si>
    <t>60.</t>
  </si>
  <si>
    <t>III. Követelés jellegű sajátos elszámolások</t>
  </si>
  <si>
    <t>61.</t>
  </si>
  <si>
    <t>D) KÖVETELÉSEK (59+60+61)</t>
  </si>
  <si>
    <t>62.</t>
  </si>
  <si>
    <t>I. December havi illetmények, munkabérek elszámolása</t>
  </si>
  <si>
    <t>63.</t>
  </si>
  <si>
    <t>II. Utalványok, bérletek és más hasonló, készpénz-helyettesítő fizetési 
     eszköznek nem minősülő eszközök elszámolásai</t>
  </si>
  <si>
    <t>64.</t>
  </si>
  <si>
    <t>E) EGYÉB SAJÁTOS ESZKÖZOLDALI ELSZÁMOLÁSOK (63+64)</t>
  </si>
  <si>
    <t>65.</t>
  </si>
  <si>
    <t>F) AKTÍV IDŐBELI ELHATÁROLÁSOK</t>
  </si>
  <si>
    <t>66.</t>
  </si>
  <si>
    <t>ESZKÖZÖK ÖSSZESEN  (49+52+58+62+65+66)</t>
  </si>
  <si>
    <t>67.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</si>
  <si>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</si>
  <si>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</si>
  <si>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</si>
  <si>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</si>
  <si>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</si>
  <si>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</si>
  <si>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</si>
  <si>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</si>
  <si>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</si>
  <si>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</si>
  <si>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</si>
  <si>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</si>
  <si>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</si>
  <si>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</si>
  <si>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</si>
  <si>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</si>
  <si>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Beledi Közös Önkormányzati Hivatal</t>
  </si>
  <si>
    <t>Adatok: forintban!</t>
  </si>
  <si>
    <t>Mennyiség
(db)</t>
  </si>
  <si>
    <t>Bruttó értéke</t>
  </si>
  <si>
    <t>Könyv szerinti értéke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</si>
  <si>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</si>
  <si>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</si>
  <si>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</si>
  <si>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</si>
  <si>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</si>
  <si>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</si>
  <si>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</si>
  <si>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</si>
  <si>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</si>
  <si>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</si>
  <si>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</si>
  <si>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</si>
  <si>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</si>
  <si>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</si>
  <si>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</si>
  <si>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</si>
  <si>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</si>
  <si>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</si>
  <si>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</si>
  <si>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 xml:space="preserve">15. számú melléklet </t>
  </si>
  <si>
    <t>14. számú melléklet</t>
  </si>
  <si>
    <t>10. számú melléklet</t>
  </si>
  <si>
    <t xml:space="preserve">9. számú melléklet </t>
  </si>
  <si>
    <t xml:space="preserve">8. számú melléklet  </t>
  </si>
  <si>
    <t xml:space="preserve">7. számú melléklet </t>
  </si>
  <si>
    <t xml:space="preserve">6/b. számú melléklet </t>
  </si>
  <si>
    <t>Beled Város Önkormányata</t>
  </si>
  <si>
    <t>adósságot keletkeztető ügyleteiből eredő fizetési kötelezettség bemutatása</t>
  </si>
  <si>
    <t>Tárgyi eszközök, ingatlanok értékesítése</t>
  </si>
  <si>
    <t>Kezességvállalással kapcsolatos megtérülés</t>
  </si>
  <si>
    <t>Saját bevételek 50 %-a</t>
  </si>
  <si>
    <t>Adósságot keletkeztető ügyletek értéke</t>
  </si>
  <si>
    <t>Hitel felvételből származó tőketartozás</t>
  </si>
  <si>
    <t>Hitelfelvétel</t>
  </si>
  <si>
    <t>Adósságot keletkeztető ügyletek összértéke</t>
  </si>
  <si>
    <t>Előző év(ek)ben keletkezett tárgyévet fizetési kötelezettség</t>
  </si>
  <si>
    <t>Tőkefizetési kötelezettség (2016. évi fejlesztési hitelfelvétel)</t>
  </si>
  <si>
    <t>Kamatfizetési kötelezettség (2016. évi fejlesztési hitelfelvétel)</t>
  </si>
  <si>
    <t>Egyéb fizetési kötelezettség (kezelési költség stb.)</t>
  </si>
  <si>
    <t>Előző év(ek)ben keletkezett tárgyévet fizetési kötelezettség összesen</t>
  </si>
  <si>
    <t>Tárgyévi fizetési kötelezettség</t>
  </si>
  <si>
    <t>Tőkefizetési kötelezettség</t>
  </si>
  <si>
    <t xml:space="preserve">Kamatfizetési kötelezettség </t>
  </si>
  <si>
    <t>Tárgyévi fizetési kötelzettség összesen</t>
  </si>
  <si>
    <t>Fizetési kötelezettséggel csökkentett saját bevétel</t>
  </si>
  <si>
    <t xml:space="preserve">18. számú melléklet </t>
  </si>
  <si>
    <t>19. számú melléklet</t>
  </si>
  <si>
    <t xml:space="preserve">23. számú melléklet </t>
  </si>
  <si>
    <t>Maradványkimutatás</t>
  </si>
  <si>
    <t>Közös Hivatal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</si>
  <si>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</si>
  <si>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</si>
  <si>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</si>
  <si>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</si>
  <si>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</si>
  <si>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 xml:space="preserve">Alaptevékenység finanszírozási egyenlege </t>
  </si>
  <si>
    <t xml:space="preserve">Alaptevékenység maradványa </t>
  </si>
  <si>
    <t xml:space="preserve">Összes maradvány </t>
  </si>
  <si>
    <t>Alaptevékenység kötelezettségvállalással terhelt maradványa</t>
  </si>
  <si>
    <t xml:space="preserve">Alaptevékenység szabad maradványa </t>
  </si>
  <si>
    <t>12. számú melléklet</t>
  </si>
  <si>
    <t>Mérleg</t>
  </si>
  <si>
    <t>Közös hivatal</t>
  </si>
  <si>
    <t>Konszolidált mérleg</t>
  </si>
  <si>
    <t>#</t>
  </si>
  <si>
    <t>Előző időszak</t>
  </si>
  <si>
    <t>Tárgyi időszak</t>
  </si>
  <si>
    <t>01</t>
  </si>
  <si>
    <t>A/I/1 Vagyoni értékű jogok</t>
  </si>
  <si>
    <t>02</t>
  </si>
  <si>
    <t>A/I/2 Szellemi termékek</t>
  </si>
  <si>
    <t>03</t>
  </si>
  <si>
    <t>A/I/3 Immateriális javak értékhelyesbítése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</si>
  <si>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</si>
  <si>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</si>
  <si>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</si>
  <si>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</si>
  <si>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</si>
  <si>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</si>
  <si>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07</t>
  </si>
  <si>
    <t>A/II/3 Tenyészállatok</t>
  </si>
  <si>
    <t>08</t>
  </si>
  <si>
    <t>A/II/4 Beruházások, felújítások</t>
  </si>
  <si>
    <t>09</t>
  </si>
  <si>
    <t>A/II/5 Tárgyi eszközök értékhelyesbítése</t>
  </si>
  <si>
    <t>10</t>
  </si>
  <si>
    <t>A/II Tárgyi eszközök  (=A/II/1+...+A/II/5)</t>
  </si>
  <si>
    <t>11</t>
  </si>
  <si>
    <t>A/III/1 Tartós részesedések (=A/III/1a+…+A/III/1e)</t>
  </si>
  <si>
    <t>12</t>
  </si>
  <si>
    <t>A/III/1a - ebből: tartós részesedések jegybankban</t>
  </si>
  <si>
    <t>13</t>
  </si>
  <si>
    <t>A/III/1b - ebből: tartós részesedések nem pénzügyi vállalkozásban</t>
  </si>
  <si>
    <t>14</t>
  </si>
  <si>
    <t>A/III/1c - ebből: tartós részesedésel pénzügyi vállalkozásban</t>
  </si>
  <si>
    <t>15</t>
  </si>
  <si>
    <t>A/III/1d - ebből: tartós részesedések társulásban</t>
  </si>
  <si>
    <t>16</t>
  </si>
  <si>
    <t>A/III/1e - ebből: egyéb tartós részesedések</t>
  </si>
  <si>
    <t>17</t>
  </si>
  <si>
    <t>A/III/2 Tartós hitelviszonyt megtestesítő értékpapírok (&gt;=A/III/2a+A/III/2/b)</t>
  </si>
  <si>
    <t>18</t>
  </si>
  <si>
    <t>A/III/2a - ebből: államkötvények</t>
  </si>
  <si>
    <t>19</t>
  </si>
  <si>
    <t>A/III/2b - ebből: helyi önkormányzatok kötvényei</t>
  </si>
  <si>
    <t>20</t>
  </si>
  <si>
    <t>A/III/3 Befektetett pénzügyi eszközök értékhelyesbítése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</si>
  <si>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</si>
  <si>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</si>
  <si>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</si>
  <si>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</si>
  <si>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23</t>
  </si>
  <si>
    <t>A/IV/1a - ebből: immateriális javak</t>
  </si>
  <si>
    <t>24</t>
  </si>
  <si>
    <t>A/IV/1b - ebből: tárgyi eszközök</t>
  </si>
  <si>
    <t>25</t>
  </si>
  <si>
    <t>A/IV/1c - ebből: tartós részesedések, tartós hitelviszonyt megtestesítő értékpapírok</t>
  </si>
  <si>
    <t>26</t>
  </si>
  <si>
    <t>A/IV/2 Koncesszióba, vagyonkezelésbe adott eszközök értékhelyesbítése</t>
  </si>
  <si>
    <t>27</t>
  </si>
  <si>
    <t>A/IV Koncesszióba, vagyonkezelésbe adott eszközök (=A/IV/1+A/IV/2)</t>
  </si>
  <si>
    <t>28</t>
  </si>
  <si>
    <t>A) NEMZETI VAGYONBA TARTOZÓ BEFEKTETETT ESZKÖZÖK (=A/I+A/II+A/III+A/IV)</t>
  </si>
  <si>
    <t>29</t>
  </si>
  <si>
    <t>B/I/1 Vásárolt készletek</t>
  </si>
  <si>
    <t>30</t>
  </si>
  <si>
    <t>B/I/2 Átsorolt, követelés fejében átvett készletek</t>
  </si>
  <si>
    <t>31</t>
  </si>
  <si>
    <t>B/I/3 Egyéb készletek</t>
  </si>
  <si>
    <t>32</t>
  </si>
  <si>
    <t>B/I/4  Befejezetlen termelés, félkész termékek, késztermékek</t>
  </si>
  <si>
    <t>33</t>
  </si>
  <si>
    <t>B/I/5 Növendék-, hízó és egyéb állatok</t>
  </si>
  <si>
    <t>34</t>
  </si>
  <si>
    <t>B/I Készletek (=B/I/1+…+B/I/5)</t>
  </si>
  <si>
    <t>35</t>
  </si>
  <si>
    <t>B/II/1 Nem tartós részesedések</t>
  </si>
  <si>
    <t>36</t>
  </si>
  <si>
    <t>B/II/2 Forgatási célú hitelviszonyt megtestesítő értékpapírok (&gt;=B/II/2a+…+B/II/2e)</t>
  </si>
  <si>
    <t>37</t>
  </si>
  <si>
    <t>B/II/2a - ebből: kárpótlási jegyek</t>
  </si>
  <si>
    <t>38</t>
  </si>
  <si>
    <t>B/II/2b - ebből: kincstárjegyek</t>
  </si>
  <si>
    <t>39</t>
  </si>
  <si>
    <t>B/II/2c - ebből: államkötvények</t>
  </si>
  <si>
    <t>40</t>
  </si>
  <si>
    <t>B/II/2d - ebből: helyi önkormányzatok kötvényei</t>
  </si>
  <si>
    <t>41</t>
  </si>
  <si>
    <t>B/II/2e - ebből: befektetési jegyek</t>
  </si>
  <si>
    <t>42</t>
  </si>
  <si>
    <t>B/II Értékpapírok (=B/II/1+B/II/2)</t>
  </si>
  <si>
    <t>43</t>
  </si>
  <si>
    <t>B) NEMZETI VAGYONBA TARTOZÓ FORGÓESZKÖZÖK (= B/I+B/II)</t>
  </si>
  <si>
    <t>44</t>
  </si>
  <si>
    <t>C/I/1 Éven túli lejáratú forint lekötött bankbetétek</t>
  </si>
  <si>
    <t>45</t>
  </si>
  <si>
    <t>C/I/2 Éven túli lejáratú deviza lekötött bankbetétek</t>
  </si>
  <si>
    <t>46</t>
  </si>
  <si>
    <t>C/I Lekötött bankbetétek (=C/I/1+…+C/I/2)</t>
  </si>
  <si>
    <t>47</t>
  </si>
  <si>
    <t>C/II/1 Forintpénztár</t>
  </si>
  <si>
    <t>48</t>
  </si>
  <si>
    <t>C/II/2 Valutapénztár</t>
  </si>
  <si>
    <t>49</t>
  </si>
  <si>
    <t>C/II/3 Betétkönyvek, csekkek, elektronikus pénzeszközök</t>
  </si>
  <si>
    <t>50</t>
  </si>
  <si>
    <t>C/II Pénztárak, csekkek, betétkönyvek (=C/II/1+C/II/2+C/II/3)</t>
  </si>
  <si>
    <t>51</t>
  </si>
  <si>
    <t>C/III/1 Kincstáron kívüli forintszámlák</t>
  </si>
  <si>
    <t>52</t>
  </si>
  <si>
    <t>C/III/2 Kincstárban vezetett forintszámlák</t>
  </si>
  <si>
    <t>53</t>
  </si>
  <si>
    <t>C/III Forintszámlák (=C/III/1+C/III/2)</t>
  </si>
  <si>
    <t>54</t>
  </si>
  <si>
    <t>C/IV/1 Kincstáron kívüli devizaszámlák</t>
  </si>
  <si>
    <t>55</t>
  </si>
  <si>
    <t>C/IV/2 Kincstárban vezetett devizaszámlák</t>
  </si>
  <si>
    <t>56</t>
  </si>
  <si>
    <t>C/IV Devizaszámlák (=CIV/1+C/IV/2)</t>
  </si>
  <si>
    <t>57</t>
  </si>
  <si>
    <t>C) PÉNZESZKÖZÖK (=C/I+…+C/IV)</t>
  </si>
  <si>
    <t>58</t>
  </si>
  <si>
    <t>D/I/1 Költségvetési évben esedékes követelések működési célú támogatások bevételeire államháztartáson belülről (&gt;=D/I/1a)</t>
  </si>
  <si>
    <t>59</t>
  </si>
  <si>
    <t>D/I/1a - ebből: költségvetési évben esedékes követelések működési célú visszatérítendő támogatások, kölcsönök visszatérülésére államháztartáson belülről</t>
  </si>
  <si>
    <t>60</t>
  </si>
  <si>
    <t>D/I/2 Költségvetési évben esedékes követelések felhalmozási célú támogatások bevételeire államháztartáson belülről (&gt;=D/I/2a)</t>
  </si>
  <si>
    <t>61</t>
  </si>
  <si>
    <t>D/I/2a - ebből: költségvetési évben esedékes követelések felhalmozási célú visszatérítendő támogatások, kölcsönök visszatérülésére államháztartáson belülről</t>
  </si>
  <si>
    <t>62</t>
  </si>
  <si>
    <t>D/I/3 Költségvetési évben esedékes követelések közhatalmi bevételre (=D/I/3a+…+D/I/3f)</t>
  </si>
  <si>
    <t>63</t>
  </si>
  <si>
    <t>D/I/3a  - ebből: költségvetési évben esedékes követelések jövedelemadókra</t>
  </si>
  <si>
    <t>64</t>
  </si>
  <si>
    <t>D/I/3b - ebből: költségvetési évben esedékes követelések szociális hozzájárulási adóra és járulékokra</t>
  </si>
  <si>
    <t>65</t>
  </si>
  <si>
    <t>D/I/3c - ebből: költségvetési évben esedékes követelések bérhez és foglalkoztatáshoz kapcsolódó adókra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</si>
  <si>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</si>
  <si>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</si>
  <si>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</si>
  <si>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</si>
  <si>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</si>
  <si>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</si>
  <si>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</si>
  <si>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</si>
  <si>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</si>
  <si>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</si>
  <si>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</si>
  <si>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</si>
  <si>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</si>
  <si>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</si>
  <si>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</si>
  <si>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</si>
  <si>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74</t>
  </si>
  <si>
    <t>D/I/4e - ebből: költségvetési évben esedékes követelések általános forgalmi adó visszatérítésére</t>
  </si>
  <si>
    <t>75</t>
  </si>
  <si>
    <t>D/I/4f - ebből: költségvetési évben esedékes követelések kamatbevételekre és más nyereségjellegű bevételekre</t>
  </si>
  <si>
    <t>76</t>
  </si>
  <si>
    <t>D/I/4g - ebből: költségvetési évben esedékes követelések egyéb pénzügyi műveletek bevételeire</t>
  </si>
  <si>
    <t>77</t>
  </si>
  <si>
    <t>D/I/4h - ebből: költségvetési évben esedékes követelések biztosító által fizetett kártérítésre</t>
  </si>
  <si>
    <t>78</t>
  </si>
  <si>
    <t>D/I/4i - ebből: költségvetési évben esedékes követelések egyéb működési bevételekre</t>
  </si>
  <si>
    <t>79</t>
  </si>
  <si>
    <t>D/I/5 Költségvetési évben esedékes követelések felhalmozási bevételre (=D/I/5a+…+D/I/5e)</t>
  </si>
  <si>
    <t>80</t>
  </si>
  <si>
    <t>D/I/5a - ebből: költségvetési évben esedékes követelések immateriális javak értékesítésére</t>
  </si>
  <si>
    <t>81</t>
  </si>
  <si>
    <t>D/I/5b - ebből: költségvetési évben esedékes követelések ingatlanok értékesítésére</t>
  </si>
  <si>
    <t>82</t>
  </si>
  <si>
    <t>D/I/5c - ebből: költségvetési évben esedékes követelések egyéb tárgyi eszközök értékesítésére</t>
  </si>
  <si>
    <t>83</t>
  </si>
  <si>
    <t>D/I/5d - ebből: költségvetési évben esedékes követelések részesedések értékesítésére</t>
  </si>
  <si>
    <t>84</t>
  </si>
  <si>
    <t>D/I/5e - ebből: költségvetési évben esedékes követelések részesedések megszűnéséhez kapcsolódó bevételekre</t>
  </si>
  <si>
    <t>85</t>
  </si>
  <si>
    <t>D/I/6 Költségvetési évben esedékes követelések működési célú átvett pénzeszközre (&gt;=D/I/6a+D/I/6b+D/I/6c)</t>
  </si>
  <si>
    <t>86</t>
  </si>
  <si>
    <t>D/I/6a - ebből: költségvetési évben esedékes követelések működési célú visszatérítendő támogatások, kölcsönök visszatérülése az Európai Uniótól</t>
  </si>
  <si>
    <t>87</t>
  </si>
  <si>
    <t>D/I/6b - ebből: költségvetési évben esedékes követelések működési célú visszatérítendő támogatások, kölcsönök visszatérülése kormányoktól és más nemzetközi szervezetektől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</si>
  <si>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</si>
  <si>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</si>
  <si>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</si>
  <si>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</si>
  <si>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90</t>
  </si>
  <si>
    <t>D/I/7a - ebből: költségvetési évben esedékes követelések felhalmozási célú visszatérítendő támogatások, kölcsönök visszatérülése az Európai Uniótól</t>
  </si>
  <si>
    <t>91</t>
  </si>
  <si>
    <t>D/I/7b - ebből: költségvetési évben esedékes követelések felhalmozási célú visszatérítendő támogatások, kölcsönök visszatérülése kormányoktól és más nemzetközi szervezetektől</t>
  </si>
  <si>
    <t>92</t>
  </si>
  <si>
    <t>D/I/7c - ebből: költségvetési évben esedékes követelések felhalmozási célú visszatérítendő támogatások, kölcsönök visszatérülésére államháztartáson kívülről</t>
  </si>
  <si>
    <t>93</t>
  </si>
  <si>
    <t>D/I/8 Költségvetési évben esedékes követelések finanszírozási bevételekre (&gt;=D/I/8a+…+D/I/8g)</t>
  </si>
  <si>
    <t>94</t>
  </si>
  <si>
    <t>D/I/8a - ebből: költségvetési évben esedékes követelések forgatási célú belföldi értékpapírok beváltásából, értékesítéséből</t>
  </si>
  <si>
    <t>95</t>
  </si>
  <si>
    <t>D/I/8b - ebből: költségvetési évben esedékes követelések befektetési célú belföldi értékpapírok beváltásából, értékesítéséből</t>
  </si>
  <si>
    <t>96</t>
  </si>
  <si>
    <t>D/I/8c - ebből: költségvetési évben esedékes követelések államháztartáson belüli megelőlegezések törlesztésére</t>
  </si>
  <si>
    <t>97</t>
  </si>
  <si>
    <t>D/I/8d - ebből: költségvetési évben esedékes követelések hosszú lejáratú tulajdonosi kölcsönök bevételeire</t>
  </si>
  <si>
    <t>98</t>
  </si>
  <si>
    <t>D/I/8e - ebből: költségvetési évben esedékes követelések rövid lejáratú tulajdonosi kölcsönök bevételeire</t>
  </si>
  <si>
    <t>99</t>
  </si>
  <si>
    <t>D/I/8f - ebből: költségvetési évben esedékes követelések forgatási célú külföldi értékpapírok beváltásából, értékesítéséből</t>
  </si>
  <si>
    <t>100</t>
  </si>
  <si>
    <t>D/I/8g - ebből: költségvetési évben esedékes követelések befektetési célú külföldi értékpapírok beváltásából, értékesítéséből</t>
  </si>
  <si>
    <t>101</t>
  </si>
  <si>
    <t>D/I Költségvetési évben esedékes követelések (=D/I/1+…+D/I/8)</t>
  </si>
  <si>
    <t>102</t>
  </si>
  <si>
    <t>D/II/1 Költségvetési évet követően esedékes követelések működési célú támogatások bevételeire államháztartáson belülről (&gt;=D/II/1a)</t>
  </si>
  <si>
    <t>103</t>
  </si>
  <si>
    <t>D/II/1a - ebből: költségvetési évet követően esedékes követelések működési célú visszatérítendő támogatások, kölcsönök visszatérülésére államháztartáson belülről</t>
  </si>
  <si>
    <t>104</t>
  </si>
  <si>
    <t>D/II/2 Költségvetési évet követően esedékes követelések felhalmozási célú támogatások bevételeire államháztartáson belülről (&gt;=D/II/2a)</t>
  </si>
  <si>
    <t>105</t>
  </si>
  <si>
    <t>D/II/2a - ebből: költségvetési évet követően esedékes követelések felhalmozási célú visszatérítendő támogatások, kölcsönök visszatérülésére államháztartáson belülről</t>
  </si>
  <si>
    <t>106</t>
  </si>
  <si>
    <t>D/II/3 Költségvetési évet követően esedékes követelések közhatalmi bevételre (=D/II/3a+…+D/II/3f)</t>
  </si>
  <si>
    <t>107</t>
  </si>
  <si>
    <t>D/II/3a - ebből: költségvetési évet követően esedékes követelések jövedelemadókra</t>
  </si>
  <si>
    <t>108</t>
  </si>
  <si>
    <t>D/II/3b - ebből: költségvetési évet követően esedékes követelések szociális hozzájárulási adóra és járulékokra</t>
  </si>
  <si>
    <t>109</t>
  </si>
  <si>
    <t>D/II/3c - ebből: költségvetési évet követően esedékes követelések bérhez és foglalkoztatáshoz kapcsolódó adókra</t>
  </si>
  <si>
    <t>110</t>
  </si>
  <si>
    <t>D/II/3d - ebből: költségvetési évet követően esedékes követelések vagyoni típusú adókra</t>
  </si>
  <si>
    <t>111</t>
  </si>
  <si>
    <t>D/II/3e - ebből: költségvetési évet követően esedékes követelések termékek és szolgáltatások adóira</t>
  </si>
  <si>
    <t>112</t>
  </si>
  <si>
    <t>D/II/3f - ebből: költségvetési évet követően esedékes követelések egyéb közhatalmi bevételekre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</si>
  <si>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</si>
  <si>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</si>
  <si>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</si>
  <si>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</si>
  <si>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115</t>
  </si>
  <si>
    <t>D/II/4b - ebből: költségvetési évet követően esedékes követelések tulajdonosi bevételekre</t>
  </si>
  <si>
    <t>116</t>
  </si>
  <si>
    <t>D/II/4c - ebből: költségvetési évet követően esedékes követelések ellátási díjakra</t>
  </si>
  <si>
    <t>117</t>
  </si>
  <si>
    <t>D/II/4d - ebből: költségvetési évet követően esedékes követelések kiszámlázott általános forgalmi adóra</t>
  </si>
  <si>
    <t>118</t>
  </si>
  <si>
    <t>D/II/4e - ebből: költségvetési évet követően esedékes követelések általános forgalmi adó visszatérítésére</t>
  </si>
  <si>
    <t>119</t>
  </si>
  <si>
    <t>D/II/4f - ebből: költségvetési évet követően esedékes követelések kamatbevételekre és más nyereségjellegű bevételekre</t>
  </si>
  <si>
    <t>120</t>
  </si>
  <si>
    <t>D/II/4g - ebből: költségvetési évet követően esedékes követelések egyéb pénzügyi műveletek bevételeire</t>
  </si>
  <si>
    <t>121</t>
  </si>
  <si>
    <t>D/II/4h - ebből: költségvetési évet követően esedékes követelések biztosító által fizetett kártérítésre</t>
  </si>
  <si>
    <t>122</t>
  </si>
  <si>
    <t>D/II/4i - ebből: költségvetési évet követően esedékes követelések egyéb működési bevételekre</t>
  </si>
  <si>
    <t>123</t>
  </si>
  <si>
    <t>D/II/5 Költségvetési évet követően esedékes követelések felhalmozási bevételre (=D/II/5a+…+D/II/5e)</t>
  </si>
  <si>
    <t>124</t>
  </si>
  <si>
    <t>D/II/5a - ebből: költségvetési évet követően esedékes követelések immateriális javak értékesítésére</t>
  </si>
  <si>
    <t>125</t>
  </si>
  <si>
    <t>D/II/5b - ebből: költségvetési évet követően esedékes követelések ingatlanok értékesítésére</t>
  </si>
  <si>
    <t>126</t>
  </si>
  <si>
    <t>D/II/5c - ebből: költségvetési évet követően esedékes követelések egyéb tárgyi eszközök értékesítésére</t>
  </si>
  <si>
    <t>127</t>
  </si>
  <si>
    <t>D/II/5d - ebből: költségvetési évet követően esedékes követelések részesedések értékesítésére</t>
  </si>
  <si>
    <t>128</t>
  </si>
  <si>
    <t>D/II/5e - ebből: költségvetési évet követően esedékes követelések részesedések megszűnéséhez kapcsolódó bevételekre</t>
  </si>
  <si>
    <t>129</t>
  </si>
  <si>
    <t>D/II/6 Költségvetési évet követően esedékes követelések működési célú átvett pénzeszközre (&gt;=D/II/6a+D/II/6b+D/II/6c)</t>
  </si>
  <si>
    <t>130</t>
  </si>
  <si>
    <t>D/II/6a - ebből: költségvetési évet követően esedékes követelések működési célú visszatérítendő támogatások, kölcsönök visszatérülése az Európai Uniótól</t>
  </si>
  <si>
    <t>131</t>
  </si>
  <si>
    <t>D/II/6b - ebből: költségvetési évet követően esedékes követelések működési célú visszatérítendő támogatások, kölcsönök visszatérülése kormányoktól és más nemzetközi szervezetektől</t>
  </si>
  <si>
    <t>132</t>
  </si>
  <si>
    <t>D/II/6c - ebből: költségvetési évet követően esedékes követelések működési célú visszatérítendő támogatások, kölcsönök visszatérülésére államháztartáson kívülről</t>
  </si>
  <si>
    <t>133</t>
  </si>
  <si>
    <t>D/II/7 Költségvetési évet követően esedékes követelések felhalmozási célú átvett pénzeszközre (&gt;=D/II/7a+D/II/7b+D/II/7c)</t>
  </si>
  <si>
    <t>134</t>
  </si>
  <si>
    <t>D/II/7a - ebből: költségvetési évet követően esedékes követelések felhalmozási célú visszatérítendő támogatások, kölcsönök visszatérülése az Európai Uniótól</t>
  </si>
  <si>
    <t>135</t>
  </si>
  <si>
    <t>D/II/7b - ebből: költségvetési évet követően esedékes követelések felhalmozási célú visszatérítendő támogatások, kölcsönök visszatérülése kormányoktól és más nemzetközi szervezetektől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</si>
  <si>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</si>
  <si>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</si>
  <si>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137</t>
  </si>
  <si>
    <t>D/II/8 Költségvetési évet követően esedékes követelések finanszírozási bevételekre (=D/II/8a+D/II/8b+D/II/8c+D/II/8d)</t>
  </si>
  <si>
    <t>138</t>
  </si>
  <si>
    <t>D/II8a - ebből: költségvetési évet követően esedékes követelések befektetési célú belföldi értékpapírok beváltásából, értékesítéséből</t>
  </si>
  <si>
    <t>139</t>
  </si>
  <si>
    <t>D/II8b - ebből: költségvetési évet követően esedékes követelések államháztartáson belüli megelőlegezések törlesztésére</t>
  </si>
  <si>
    <t>140</t>
  </si>
  <si>
    <t>D/II8c - ebből: költségvetési évet követően esedékes követelések hosszú lejáratú tulajdonosi kölcsönök bevételeire</t>
  </si>
  <si>
    <t>141</t>
  </si>
  <si>
    <t>D/II8d - ebből: költségvetési évet követően esedékes követelések befektetési célú külföldi értékpapírok beváltásából, értékesítéséből</t>
  </si>
  <si>
    <t>142</t>
  </si>
  <si>
    <t>D/II Költségvetési évet követően esedékes követelések (=D/II/1+…+D/II/8)</t>
  </si>
  <si>
    <t>143</t>
  </si>
  <si>
    <t>D/III/1 Adott előlegek (=D/III/1a+…+D/III/1f)</t>
  </si>
  <si>
    <t>144</t>
  </si>
  <si>
    <t>D/III/1a - ebből: immateriális javakra adott előlegek</t>
  </si>
  <si>
    <t>145</t>
  </si>
  <si>
    <t>D/III/1b - ebből: beruházásokra, felújításokra adott előlegek</t>
  </si>
  <si>
    <t>146</t>
  </si>
  <si>
    <t>D/III/1c - ebből: készletekre adott előlegek</t>
  </si>
  <si>
    <t>147</t>
  </si>
  <si>
    <t>D/III/1d - ebből: igénybe vett szolgáltatásra adott előlegek</t>
  </si>
  <si>
    <t>148</t>
  </si>
  <si>
    <t>D/III/1e - ebből: foglalkoztatottaknak adott előlegek</t>
  </si>
  <si>
    <t>149</t>
  </si>
  <si>
    <t>D/III/1f - ebből: túlfizetések, téves és visszajáró kifizetések</t>
  </si>
  <si>
    <t>150</t>
  </si>
  <si>
    <t>D/III/2 Továbbadási célból folyósított támogatások, ellátások elszámolása</t>
  </si>
  <si>
    <t>151</t>
  </si>
  <si>
    <t>D/III/3 Más által beszedett bevételek elszámolása</t>
  </si>
  <si>
    <t>152</t>
  </si>
  <si>
    <t>D/III/4 Forgótőke elszámolása</t>
  </si>
  <si>
    <t>153</t>
  </si>
  <si>
    <t>D/III/5 Vagyonkezelésbe adott eszközökkel kapcsolatos visszapótlási követelés elszámolása</t>
  </si>
  <si>
    <t>154</t>
  </si>
  <si>
    <t>D/III/6 Nem társadalombiztosítás pénzügyi alapjait terhelő kifizetett ellátások megtérítésének elszámolása</t>
  </si>
  <si>
    <t>155</t>
  </si>
  <si>
    <t>D/III/7 Folyósított, megelőlegezett társadalombiztosítási és családtámogatási ellátások elszámolása</t>
  </si>
  <si>
    <t>156</t>
  </si>
  <si>
    <t>D/III/8 Részesedésszerzés esetén átadott eszközök</t>
  </si>
  <si>
    <t>157</t>
  </si>
  <si>
    <t>D/III/9 Letétre, megőrzésre, fedezetkezelésre átadott pénzeszközök, biztosítékok</t>
  </si>
  <si>
    <t>158</t>
  </si>
  <si>
    <t>D/III Követelés jellegű sajátos elszámolások (=D/III/1+…+D/III/9)</t>
  </si>
  <si>
    <t>159</t>
  </si>
  <si>
    <t>D) KÖVETELÉSEK  (=D/I+D/II+D/III)</t>
  </si>
  <si>
    <t>160</t>
  </si>
  <si>
    <t>E/I/1 Adott előleghez kapcsolódó előzetesen felszámított levonható általános forgalmi adó</t>
  </si>
  <si>
    <t>161</t>
  </si>
  <si>
    <t>E/I/2 Más előzetesen felszámított levonható általános forgalmi adó</t>
  </si>
  <si>
    <t>162</t>
  </si>
  <si>
    <t>E/I/3 Adott előleghez kapcsolódó előzetesen felszámított nem levonható általános forgalmi adó</t>
  </si>
  <si>
    <t>163</t>
  </si>
  <si>
    <t>E/I/4 Más előzetesen felszámított nem levonható általános forgalmi adó</t>
  </si>
  <si>
    <t>164</t>
  </si>
  <si>
    <t>E/I Előzetesen felszámított általános forgalmi adó elszámolása (=E/I/1+…+E/I/4)</t>
  </si>
  <si>
    <t>165</t>
  </si>
  <si>
    <t>E/II/1 Kapott előleghez kapcsolódó fizetendő általános forgalmi adó</t>
  </si>
  <si>
    <t>166</t>
  </si>
  <si>
    <t>E/II/2 Más fizetendő általános forgalmi adó</t>
  </si>
  <si>
    <t>167</t>
  </si>
  <si>
    <t>E/II Fizetendő általános forgalmi adó elszámolása (=E/II/1+E/II/2)</t>
  </si>
  <si>
    <t>168</t>
  </si>
  <si>
    <t>E/III/1 December havi illetmények, munkabérek elszámolása</t>
  </si>
  <si>
    <t>169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</si>
  <si>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</si>
  <si>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</si>
  <si>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</si>
  <si>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</si>
  <si>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</si>
  <si>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172</t>
  </si>
  <si>
    <t>F/1  Eredményszemléletű bevételek aktív időbeli elhatárolása</t>
  </si>
  <si>
    <t>173</t>
  </si>
  <si>
    <t>F/2 Költségek, ráfordítások aktív időbeli elhatárolása</t>
  </si>
  <si>
    <t>174</t>
  </si>
  <si>
    <t>F/3 Halasztott ráfordítások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</si>
  <si>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</si>
  <si>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</si>
  <si>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</si>
  <si>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</si>
  <si>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</si>
  <si>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</si>
  <si>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</si>
  <si>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</si>
  <si>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179</t>
  </si>
  <si>
    <t>180</t>
  </si>
  <si>
    <t>181</t>
  </si>
  <si>
    <t>182</t>
  </si>
  <si>
    <t>183</t>
  </si>
  <si>
    <t>G/IV Felhalmozott eredmény</t>
  </si>
  <si>
    <t>184</t>
  </si>
  <si>
    <t>G/V Eszközök értékhelyesbítésének forrása</t>
  </si>
  <si>
    <t>185</t>
  </si>
  <si>
    <t>G/VI Mérleg szerinti eredmény</t>
  </si>
  <si>
    <t>186</t>
  </si>
  <si>
    <t>G/ SAJÁT TŐKE  (= G/I+…+G/VI)</t>
  </si>
  <si>
    <t>187</t>
  </si>
  <si>
    <t>H/I/1 Költségvetési évben esedékes kötelezettségek személyi juttatásokra</t>
  </si>
  <si>
    <t>188</t>
  </si>
  <si>
    <t>H/I/2 Költségvetési évben esedékes kötelezettségek munkaadókat terhelő járulékokra és szociális hozzájárulási adóra</t>
  </si>
  <si>
    <t>189</t>
  </si>
  <si>
    <t>H/I/3 Költségvetési évben esedékes kötelezettségek dologi kiadásokra</t>
  </si>
  <si>
    <t>190</t>
  </si>
  <si>
    <t>H/I/4 Költségvetési évben esedékes kötelezettségek ellátottak pénzbeli juttatásaira</t>
  </si>
  <si>
    <t>191</t>
  </si>
  <si>
    <t>H/I/5 Költségvetési évben esedékes kötelezettségek egyéb működési célú kiadásokra (&gt;=H/I/5a+H/I/5b)</t>
  </si>
  <si>
    <t>192</t>
  </si>
  <si>
    <t>H/I/5a - ebből: költségvetési évben esedékes kötelezettségek működési célú visszatérítendő támogatások, kölcsönök törlesztésére államháztartáson belülre</t>
  </si>
  <si>
    <t>193</t>
  </si>
  <si>
    <t>H/I/5b - ebből: költségvetési évben esedékes kötelezettségek működési célú támogatásokra az Európai Uniónak</t>
  </si>
  <si>
    <t>194</t>
  </si>
  <si>
    <t>H/I/6 Költségvetési évben esedékes kötelezettségek beruházásokra</t>
  </si>
  <si>
    <t>195</t>
  </si>
  <si>
    <t>H/I/7 Költségvetési évben esedékes kötelezettségek felújításokra</t>
  </si>
  <si>
    <t>196</t>
  </si>
  <si>
    <t>H/I/8 Költségvetési évben esedékes kötelezettségek egyéb felhalmozási célú kiadásokra (&gt;=H/I/8a+H/I/8b)</t>
  </si>
  <si>
    <t>197</t>
  </si>
  <si>
    <t>H/I/8a - ebből: költségvetési évben esedékes kötelezettségek felhalmozási célú visszatérítendő támogatások, kölcsönök törlesztésére államháztartáson belülre</t>
  </si>
  <si>
    <t>198</t>
  </si>
  <si>
    <t>H/I/8b - ebből: költségvetési évben esedékes kötelezettségek felhalmozási célú támogatásokra az Európai Uniónak</t>
  </si>
  <si>
    <t>199</t>
  </si>
  <si>
    <t>H/I/9 Költségvetési évben esedékes kötelezettségek finanszírozási kiadásokra (&gt;=H/I/9a+…+H/I/9l)</t>
  </si>
  <si>
    <t>200</t>
  </si>
  <si>
    <t>H/I/9a - ebből: költségvetési évben esedékes kötelezettségek hosszú lejáratú hitelek, kölcsönök törlesztésére pénzügyi vállalkozásnak</t>
  </si>
  <si>
    <t>201</t>
  </si>
  <si>
    <t>H/I/9b - ebből: költségvetési évben esedékes kötelezettségek rövid lejáratú hitelek, kölcsönök törlesztésére pénzügyi vállalkozásnak</t>
  </si>
  <si>
    <t>202</t>
  </si>
  <si>
    <t>H/I/9c - ebből: költségvetési évben esedékes kötelezettségek kincstárjegyek beváltására</t>
  </si>
  <si>
    <t>203</t>
  </si>
  <si>
    <t>H/I/9d - ebből: költségvetési évben esedékes kötelezettségek éven belüli lejáratú belföldi értékpapírok beváltására</t>
  </si>
  <si>
    <t>204</t>
  </si>
  <si>
    <t>H/I/9e - ebből: költségvetési évben esedékes kötelezettségek belföldi kötvények beváltására</t>
  </si>
  <si>
    <t>205</t>
  </si>
  <si>
    <t>H/I/9f - ebből: költségvetési évben esedékes kötelezettségek éven túli lejáratú belföldi értékpapírok beváltására</t>
  </si>
  <si>
    <t>206</t>
  </si>
  <si>
    <t>H/I/9g - ebből: költségvetési évben esedékes kötelezettségek államháztartáson belüli megelőlegezések visszafizetésére</t>
  </si>
  <si>
    <t>207</t>
  </si>
  <si>
    <t>H/I/9h - ebből: költségvetési évben esedékes kötelezettségek pénzügyi lízing kiadásaira</t>
  </si>
  <si>
    <t>208</t>
  </si>
  <si>
    <t>H/I/9i - ebből: költségvetési évben esedékes kötelezettségek külföldi értékpapírok beváltására</t>
  </si>
  <si>
    <t>209</t>
  </si>
  <si>
    <t>H/I/9j - ebből: költségvetési évben esedékes kötelezettségek hitelek, kölcsönök törlesztésére külföldi kormányoknak és nemzetközi szervezeteknek</t>
  </si>
  <si>
    <t>210</t>
  </si>
  <si>
    <t>H/I/9k - ebből: költségvetési évben esedékes kötelezettségek hitelek, kölcsönök törlesztésére külföldi pénzintézeteknek</t>
  </si>
  <si>
    <t>211</t>
  </si>
  <si>
    <t>H/I/9l - ebből: költségvetési évben esedékes kötelezettségek váltókiadásokra</t>
  </si>
  <si>
    <t>212</t>
  </si>
  <si>
    <t>H/I Költségvetési évben esedékes kötelezettségek (=H/I/1+…+H/I/9)</t>
  </si>
  <si>
    <t>213</t>
  </si>
  <si>
    <t>H/II/1 Költségvetési évet követően esedékes kötelezettségek személyi juttatásokra</t>
  </si>
  <si>
    <t>214</t>
  </si>
  <si>
    <t>H/II/2 Költségvetési évet követően esedékes kötelezettségek munkaadókat terhelő járulékokra és szociális hozzájárulási adóra</t>
  </si>
  <si>
    <t>215</t>
  </si>
  <si>
    <t>H/II/3 Költségvetési évet követően esedékes kötelezettségek dologi kiadásokra</t>
  </si>
  <si>
    <t>216</t>
  </si>
  <si>
    <t>H/II/4 Költségvetési évet követően esedékes kötelezettségek ellátottak pénzbeli juttatásaira</t>
  </si>
  <si>
    <t>217</t>
  </si>
  <si>
    <t>H/II/5 Költségvetési évet követően esedékes kötelezettségek egyéb működési célú kiadásokra (&gt;=H/II/5a+H/II/5b)</t>
  </si>
  <si>
    <t>218</t>
  </si>
  <si>
    <t>H/II/5a - ebből: költségvetési évet követően esedékes kötelezettségek működési célú visszatérítendő támogatások, kölcsönök törlesztésére államháztartáson belülre</t>
  </si>
  <si>
    <t>219</t>
  </si>
  <si>
    <t>H/II/5b - ebből: költségvetési évet követően esedékes kötelezettségek működési célú támogatásokra az Európai Uniónak</t>
  </si>
  <si>
    <t>220</t>
  </si>
  <si>
    <t>H/II/6 Költségvetési évet követően esedékes kötelezettségek beruházásokra</t>
  </si>
  <si>
    <t>221</t>
  </si>
  <si>
    <t>H/II/7 Költségvetési évet követően esedékes kötelezettségek felújításokra</t>
  </si>
  <si>
    <t>222</t>
  </si>
  <si>
    <t>H/II/8 Költségvetési évet követően esedékes kötelezettségek egyéb felhalmozási célú kiadásokra (&gt;=H/II/8a+H/II/8b)</t>
  </si>
  <si>
    <t>223</t>
  </si>
  <si>
    <t>H/II/8a - ebből: költségvetési évet követően esedékes kötelezettségek felhalmozási célú visszatérítendő támogatások, kölcsönök törlesztésére államháztartáson belülre</t>
  </si>
  <si>
    <t>224</t>
  </si>
  <si>
    <t>H/II/8b - ebből: költségvetési évet követően esedékes kötelezettségek felhalmozási célú támogatásokra az Európai Uniónak</t>
  </si>
  <si>
    <t>225</t>
  </si>
  <si>
    <t>H/II/9 Költségvetési évet követően esedékes kötelezettségek finanszírozási kiadásokra (&gt;=H/II/9a+…+H/II/9j)</t>
  </si>
  <si>
    <t>226</t>
  </si>
  <si>
    <t>H/II/9a - ebből: költségvetési évet követően esedékes kötelezettségek hosszú lejáratú hitelek, kölcsönök törlesztésére pénzügyi vállalkozásnak</t>
  </si>
  <si>
    <t>227</t>
  </si>
  <si>
    <t>H/II/9b - ebből: költségvetési évet követően esedékes kötelezettségek kincstárjegyek beváltására</t>
  </si>
  <si>
    <t>228</t>
  </si>
  <si>
    <t>H/II/9c - ebből: költségvetési évet követően esedékes kötelezettségek belföldi kötvények beváltására</t>
  </si>
  <si>
    <t>229</t>
  </si>
  <si>
    <t>H/II/9d - ebből: költségvetési évet követően esedékes kötelezettségek éven túli lejáratú belföldi értékpapírok beváltására</t>
  </si>
  <si>
    <t>230</t>
  </si>
  <si>
    <t>H/II/9e - ebből: költségvetési évet követően esedékes kötelezettségek államháztartáson belüli megelőlegezések visszafizetésére</t>
  </si>
  <si>
    <t>231</t>
  </si>
  <si>
    <t>H/II/9f - ebből: költségvetési évet követően esedékes kötelezettségek pénzügyi lízing kiadásaira</t>
  </si>
  <si>
    <t>232</t>
  </si>
  <si>
    <t>H/II/9g - ebből: költségvetési évet követően esedékes kötelezettségek külföldi értékpapírok beváltására</t>
  </si>
  <si>
    <t>233</t>
  </si>
  <si>
    <t>H/II/9h - ebből: költségvetési évet követően esedékes kötelezettségek hitelek, kölcsönök törlesztésére külföldi kormányoknak és nemzetközi szervezeteknek</t>
  </si>
  <si>
    <t>234</t>
  </si>
  <si>
    <t>H/II/9i - ebből: költségvetési évet követően esedékes kötelezettségek külföldi hitelek, kölcsönök törlesztésére külföldi pénzintézeteknek</t>
  </si>
  <si>
    <t>235</t>
  </si>
  <si>
    <t>H/II/9j - ebből: költségvetési évet követően esedékes kötelezettségek váltókiadásokra</t>
  </si>
  <si>
    <t>236</t>
  </si>
  <si>
    <t>H/II Költségvetési évet követően esedékes kötelezettségek (=H/II/1+…+H/II/9)</t>
  </si>
  <si>
    <t>237</t>
  </si>
  <si>
    <t>H/III/1 Kapott előlegek</t>
  </si>
  <si>
    <t>238</t>
  </si>
  <si>
    <t>H/III/2 Továbbadási célból folyósított támogatások, ellátások elszámolása</t>
  </si>
  <si>
    <t>239</t>
  </si>
  <si>
    <t>H/III/3 Más szervezetet megillető bevételek elszámolása</t>
  </si>
  <si>
    <t>240</t>
  </si>
  <si>
    <t>H/III/4 Forgótőke elszámolása (Kincstár)</t>
  </si>
  <si>
    <t>241</t>
  </si>
  <si>
    <t>H/III/5 Nemzeti vagyonba tartozó befektetett eszközökkel kapcsolatos egyes kötelezettség jellegű sajátos elszámolások</t>
  </si>
  <si>
    <t>242</t>
  </si>
  <si>
    <t>H/III/6 Nem társadalombiztosítás pénzügyi alapjait terhelő kifizetett ellátások megtérítésének elszámolása</t>
  </si>
  <si>
    <t>243</t>
  </si>
  <si>
    <t>244</t>
  </si>
  <si>
    <t>H/III/8 Letétre, megőrzésre, fedezetkezelésre átvett pénzeszközök, biztosítékok</t>
  </si>
  <si>
    <t>245</t>
  </si>
  <si>
    <t>H/III/9 Nemzetközi támogatási programok pénzeszközei</t>
  </si>
  <si>
    <t>246</t>
  </si>
  <si>
    <t>H/III/10 Államadósság Kezelő Központ Zrt.-nél elhelyezett fedezeti betétek</t>
  </si>
  <si>
    <t>247</t>
  </si>
  <si>
    <t>H/III Kötelezettség jellegű sajátos elszámolások (=H/III/1+…+H/III/10)</t>
  </si>
  <si>
    <t>248</t>
  </si>
  <si>
    <t>H) KÖTELEZETTSÉGEK (=H/I+H/II+H/III)</t>
  </si>
  <si>
    <t>249</t>
  </si>
  <si>
    <t>250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</si>
  <si>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</si>
  <si>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</si>
  <si>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</si>
  <si>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</si>
  <si>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</si>
  <si>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G/III Egyéb eszközök induláskori értéke és változásai</t>
  </si>
  <si>
    <t>VAGYONKIMUTATÁS                                                                                                                                                                                            a könyvviteli mérlegben  értékkel szereplő eszközökről                                                                                                                              2018. év</t>
  </si>
  <si>
    <t>VAGYONKIMUTATÁS     az érték nélkül nyilvántartott eszközökről                                                                                                                                           2018. év</t>
  </si>
  <si>
    <t>VAGYONKIMUTATÁS            az érték nélkül nyilvántartott eszközökről                                                                                                                                           2018. év</t>
  </si>
  <si>
    <t>VAGYONKIMUTATÁS                 az érték nélkül nyilvántartott eszközökről                                                                                                                                           2018. év</t>
  </si>
  <si>
    <t>2018. évi ügyletből származó érték</t>
  </si>
  <si>
    <t>2018. év előtti  ügyletből származó érték</t>
  </si>
  <si>
    <t>2018. december 31. teljesítés</t>
  </si>
  <si>
    <t>EFOP-1.5.2-16-2017-00023</t>
  </si>
  <si>
    <t>Beled és térsége humán szolgáltatásainak fejlesztése</t>
  </si>
  <si>
    <t>EFOP-1.5.2-16-2017-00023 Beled és térsége humán szolgáltatásainak fejlesztése</t>
  </si>
  <si>
    <t>2018</t>
  </si>
  <si>
    <t>Részesedések 2018.12.31.-i állománya</t>
  </si>
  <si>
    <t>Pénzkészlet 2018. január 1-jén
ebből:</t>
  </si>
  <si>
    <t>Záró pénzkészlet 2018. december 31-én
ebből: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</si>
</sst>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  <numFmt numFmtId="175" formatCode="[$€-2]\ #\ ##,000_);[Red]\([$€-2]\ #\ ##,000\)"/>
    <numFmt numFmtId="176" formatCode="###\ ###\ ###\ ###\ ##0.00"/>
    <numFmt numFmtId="177" formatCode="0.0%"/>
    <numFmt numFmtId="178" formatCode="#,###__"/>
    <numFmt numFmtId="179" formatCode="00"/>
    <numFmt numFmtId="180" formatCode="#,###__;\-#,###__"/>
    <numFmt numFmtId="181" formatCode="#,###\ _F_t;\-#,###\ _F_t"/>
    <numFmt numFmtId="182" formatCode="#,###,_F_t;\-#,###,_F_t"/>
    <numFmt numFmtId="183" formatCode="#,###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174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i/>
      <sz val="12"/>
      <name val="Times New Roman CE"/>
      <family val="0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Arial CE"/>
      <family val="0"/>
    </font>
    <font>
      <i/>
      <sz val="10"/>
      <name val="Arial"/>
      <family val="2"/>
    </font>
    <font>
      <i/>
      <sz val="11"/>
      <name val="MS Sans Serif"/>
      <family val="2"/>
    </font>
    <font>
      <i/>
      <sz val="12"/>
      <name val="MS Sans Serif"/>
      <family val="2"/>
    </font>
    <font>
      <i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color indexed="10"/>
      <name val="Times New Roman"/>
      <family val="1"/>
    </font>
    <font>
      <sz val="10"/>
      <name val="Wingdings"/>
      <family val="0"/>
    </font>
    <font>
      <b/>
      <i/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0"/>
      <color indexed="10"/>
      <name val="Times New Roman"/>
      <family val="1"/>
    </font>
    <font>
      <sz val="7"/>
      <color indexed="8"/>
      <name val="Times New Roman CE"/>
      <family val="0"/>
    </font>
    <font>
      <sz val="10"/>
      <color indexed="8"/>
      <name val="Times New Roman CE"/>
      <family val="0"/>
    </font>
    <font>
      <b/>
      <i/>
      <sz val="10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9"/>
      <color indexed="8"/>
      <name val="Times New Roman CE"/>
      <family val="0"/>
    </font>
    <font>
      <b/>
      <sz val="8"/>
      <color indexed="8"/>
      <name val="Times New Roman CE"/>
      <family val="0"/>
    </font>
    <font>
      <sz val="8"/>
      <color indexed="8"/>
      <name val="Times New Roman CE"/>
      <family val="0"/>
    </font>
    <font>
      <sz val="10"/>
      <color indexed="8"/>
      <name val="MS Sans Serif"/>
      <family val="2"/>
    </font>
    <font>
      <b/>
      <i/>
      <sz val="10"/>
      <color indexed="8"/>
      <name val="MS Sans Serif"/>
      <family val="2"/>
    </font>
    <font>
      <b/>
      <sz val="10"/>
      <color indexed="8"/>
      <name val="MS Sans Serif"/>
      <family val="2"/>
    </font>
    <font>
      <i/>
      <sz val="10"/>
      <color indexed="8"/>
      <name val="Times New Roman CE"/>
      <family val="0"/>
    </font>
    <font>
      <b/>
      <sz val="12"/>
      <color indexed="8"/>
      <name val="Times New Roman CE"/>
      <family val="0"/>
    </font>
    <font>
      <i/>
      <sz val="10"/>
      <color indexed="8"/>
      <name val="MS Sans Serif"/>
      <family val="2"/>
    </font>
    <font>
      <b/>
      <sz val="13.5"/>
      <color indexed="8"/>
      <name val="MS Sans Serif"/>
      <family val="2"/>
    </font>
    <font>
      <sz val="12"/>
      <color indexed="8"/>
      <name val="MS Sans Serif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MS Sans Serif"/>
      <family val="2"/>
    </font>
    <font>
      <sz val="10"/>
      <color rgb="FFFF0000"/>
      <name val="MS Sans Serif"/>
      <family val="2"/>
    </font>
    <font>
      <sz val="10"/>
      <color rgb="FFFF0000"/>
      <name val="Times New Roman"/>
      <family val="1"/>
    </font>
    <font>
      <sz val="7"/>
      <color theme="1"/>
      <name val="Times New Roman CE"/>
      <family val="0"/>
    </font>
    <font>
      <sz val="10"/>
      <color theme="1"/>
      <name val="Times New Roman CE"/>
      <family val="0"/>
    </font>
    <font>
      <b/>
      <i/>
      <sz val="10"/>
      <color theme="1"/>
      <name val="Times New Roman CE"/>
      <family val="0"/>
    </font>
    <font>
      <b/>
      <sz val="11"/>
      <color theme="1"/>
      <name val="Times New Roman CE"/>
      <family val="0"/>
    </font>
    <font>
      <b/>
      <sz val="9"/>
      <color theme="1"/>
      <name val="Times New Roman CE"/>
      <family val="0"/>
    </font>
    <font>
      <b/>
      <sz val="8"/>
      <color theme="1"/>
      <name val="Times New Roman CE"/>
      <family val="0"/>
    </font>
    <font>
      <sz val="8"/>
      <color theme="1"/>
      <name val="Times New Roman CE"/>
      <family val="0"/>
    </font>
    <font>
      <sz val="10"/>
      <color theme="1"/>
      <name val="MS Sans Serif"/>
      <family val="2"/>
    </font>
    <font>
      <b/>
      <i/>
      <sz val="10"/>
      <color theme="1"/>
      <name val="MS Sans Serif"/>
      <family val="2"/>
    </font>
    <font>
      <b/>
      <sz val="10"/>
      <color theme="1"/>
      <name val="MS Sans Serif"/>
      <family val="2"/>
    </font>
    <font>
      <i/>
      <sz val="10"/>
      <color theme="1"/>
      <name val="Times New Roman CE"/>
      <family val="0"/>
    </font>
    <font>
      <b/>
      <sz val="12"/>
      <color theme="1"/>
      <name val="Times New Roman CE"/>
      <family val="0"/>
    </font>
    <font>
      <i/>
      <sz val="10"/>
      <color theme="1"/>
      <name val="MS Sans Serif"/>
      <family val="2"/>
    </font>
    <font>
      <b/>
      <sz val="13.5"/>
      <color theme="1"/>
      <name val="MS Sans Serif"/>
      <family val="2"/>
    </font>
    <font>
      <sz val="12"/>
      <color theme="1"/>
      <name val="MS Sans Serif"/>
      <family val="2"/>
    </font>
  </fonts>
  <fills count="5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Horizontal"/>
    </fill>
    <fill>
      <patternFill patternType="solid">
        <fgColor indexed="31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/>
      <top style="thin"/>
      <bottom style="medium"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9" fillId="2" borderId="0" applyNumberFormat="0" applyBorder="0" applyAlignment="0" applyProtection="0"/>
    <xf numFmtId="0" fontId="139" fillId="3" borderId="0" applyNumberFormat="0" applyBorder="0" applyAlignment="0" applyProtection="0"/>
    <xf numFmtId="0" fontId="140" fillId="4" borderId="0" applyNumberFormat="0" applyBorder="0" applyAlignment="0" applyProtection="0"/>
    <xf numFmtId="0" fontId="140" fillId="5" borderId="0" applyNumberFormat="0" applyBorder="0" applyAlignment="0" applyProtection="0"/>
    <xf numFmtId="0" fontId="140" fillId="6" borderId="0" applyNumberFormat="0" applyBorder="0" applyAlignment="0" applyProtection="0"/>
    <xf numFmtId="0" fontId="140" fillId="7" borderId="0" applyNumberFormat="0" applyBorder="0" applyAlignment="0" applyProtection="0"/>
    <xf numFmtId="0" fontId="140" fillId="8" borderId="0" applyNumberFormat="0" applyBorder="0" applyAlignment="0" applyProtection="0"/>
    <xf numFmtId="0" fontId="14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39" fillId="15" borderId="0" applyNumberFormat="0" applyBorder="0" applyAlignment="0" applyProtection="0"/>
    <xf numFmtId="0" fontId="139" fillId="16" borderId="0" applyNumberFormat="0" applyBorder="0" applyAlignment="0" applyProtection="0"/>
    <xf numFmtId="0" fontId="140" fillId="17" borderId="0" applyNumberFormat="0" applyBorder="0" applyAlignment="0" applyProtection="0"/>
    <xf numFmtId="0" fontId="140" fillId="18" borderId="0" applyNumberFormat="0" applyBorder="0" applyAlignment="0" applyProtection="0"/>
    <xf numFmtId="0" fontId="140" fillId="19" borderId="0" applyNumberFormat="0" applyBorder="0" applyAlignment="0" applyProtection="0"/>
    <xf numFmtId="0" fontId="140" fillId="20" borderId="0" applyNumberFormat="0" applyBorder="0" applyAlignment="0" applyProtection="0"/>
    <xf numFmtId="0" fontId="140" fillId="21" borderId="0" applyNumberFormat="0" applyBorder="0" applyAlignment="0" applyProtection="0"/>
    <xf numFmtId="0" fontId="14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39" fillId="25" borderId="0" applyNumberFormat="0" applyBorder="0" applyAlignment="0" applyProtection="0"/>
    <xf numFmtId="0" fontId="139" fillId="26" borderId="0" applyNumberFormat="0" applyBorder="0" applyAlignment="0" applyProtection="0"/>
    <xf numFmtId="0" fontId="139" fillId="27" borderId="0" applyNumberFormat="0" applyBorder="0" applyAlignment="0" applyProtection="0"/>
    <xf numFmtId="0" fontId="139" fillId="28" borderId="0" applyNumberFormat="0" applyBorder="0" applyAlignment="0" applyProtection="0"/>
    <xf numFmtId="0" fontId="139" fillId="29" borderId="0" applyNumberFormat="0" applyBorder="0" applyAlignment="0" applyProtection="0"/>
    <xf numFmtId="0" fontId="139" fillId="30" borderId="0" applyNumberFormat="0" applyBorder="0" applyAlignment="0" applyProtection="0"/>
    <xf numFmtId="0" fontId="139" fillId="31" borderId="0" applyNumberFormat="0" applyBorder="0" applyAlignment="0" applyProtection="0"/>
    <xf numFmtId="0" fontId="139" fillId="32" borderId="0" applyNumberFormat="0" applyBorder="0" applyAlignment="0" applyProtection="0"/>
    <xf numFmtId="0" fontId="95" fillId="14" borderId="0" applyNumberFormat="0" applyBorder="0" applyAlignment="0" applyProtection="0"/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95" fillId="24" borderId="0" applyNumberFormat="0" applyBorder="0" applyAlignment="0" applyProtection="0"/>
    <xf numFmtId="0" fontId="95" fillId="14" borderId="0" applyNumberFormat="0" applyBorder="0" applyAlignment="0" applyProtection="0"/>
    <xf numFmtId="0" fontId="95" fillId="11" borderId="0" applyNumberFormat="0" applyBorder="0" applyAlignment="0" applyProtection="0"/>
    <xf numFmtId="0" fontId="95" fillId="35" borderId="0" applyNumberFormat="0" applyBorder="0" applyAlignment="0" applyProtection="0"/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95" fillId="36" borderId="0" applyNumberFormat="0" applyBorder="0" applyAlignment="0" applyProtection="0"/>
    <xf numFmtId="0" fontId="95" fillId="37" borderId="0" applyNumberFormat="0" applyBorder="0" applyAlignment="0" applyProtection="0"/>
    <xf numFmtId="0" fontId="95" fillId="38" borderId="0" applyNumberFormat="0" applyBorder="0" applyAlignment="0" applyProtection="0"/>
    <xf numFmtId="0" fontId="106" fillId="39" borderId="0" applyNumberFormat="0" applyBorder="0" applyAlignment="0" applyProtection="0"/>
    <xf numFmtId="0" fontId="141" fillId="40" borderId="1" applyNumberFormat="0" applyAlignment="0" applyProtection="0"/>
    <xf numFmtId="0" fontId="108" fillId="41" borderId="2" applyNumberFormat="0" applyAlignment="0" applyProtection="0"/>
    <xf numFmtId="0" fontId="101" fillId="42" borderId="3" applyNumberFormat="0" applyAlignment="0" applyProtection="0"/>
    <xf numFmtId="0" fontId="142" fillId="0" borderId="0" applyNumberFormat="0" applyFill="0" applyBorder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5" fillId="0" borderId="6" applyNumberFormat="0" applyFill="0" applyAlignment="0" applyProtection="0"/>
    <xf numFmtId="0" fontId="145" fillId="0" borderId="0" applyNumberFormat="0" applyFill="0" applyBorder="0" applyAlignment="0" applyProtection="0"/>
    <xf numFmtId="0" fontId="146" fillId="43" borderId="7" applyNumberFormat="0" applyAlignment="0" applyProtection="0"/>
    <xf numFmtId="0" fontId="10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03" fillId="14" borderId="0" applyNumberFormat="0" applyBorder="0" applyAlignment="0" applyProtection="0"/>
    <xf numFmtId="0" fontId="98" fillId="0" borderId="8" applyNumberFormat="0" applyFill="0" applyAlignment="0" applyProtection="0"/>
    <xf numFmtId="0" fontId="99" fillId="0" borderId="9" applyNumberFormat="0" applyFill="0" applyAlignment="0" applyProtection="0"/>
    <xf numFmtId="0" fontId="100" fillId="0" borderId="10" applyNumberFormat="0" applyFill="0" applyAlignment="0" applyProtection="0"/>
    <xf numFmtId="0" fontId="10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8" fillId="0" borderId="11" applyNumberFormat="0" applyFill="0" applyAlignment="0" applyProtection="0"/>
    <xf numFmtId="0" fontId="96" fillId="23" borderId="2" applyNumberFormat="0" applyAlignment="0" applyProtection="0"/>
    <xf numFmtId="0" fontId="0" fillId="44" borderId="12" applyNumberFormat="0" applyFont="0" applyAlignment="0" applyProtection="0"/>
    <xf numFmtId="0" fontId="149" fillId="45" borderId="0" applyNumberFormat="0" applyBorder="0" applyAlignment="0" applyProtection="0"/>
    <xf numFmtId="0" fontId="150" fillId="46" borderId="13" applyNumberFormat="0" applyAlignment="0" applyProtection="0"/>
    <xf numFmtId="0" fontId="68" fillId="0" borderId="0" applyNumberFormat="0" applyFill="0" applyBorder="0" applyAlignment="0" applyProtection="0"/>
    <xf numFmtId="0" fontId="102" fillId="0" borderId="14" applyNumberFormat="0" applyFill="0" applyAlignment="0" applyProtection="0"/>
    <xf numFmtId="0" fontId="15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59" fillId="0" borderId="0">
      <alignment/>
      <protection/>
    </xf>
    <xf numFmtId="0" fontId="76" fillId="0" borderId="0">
      <alignment/>
      <protection/>
    </xf>
    <xf numFmtId="0" fontId="0" fillId="12" borderId="15" applyNumberFormat="0" applyAlignment="0" applyProtection="0"/>
    <xf numFmtId="0" fontId="104" fillId="41" borderId="16" applyNumberFormat="0" applyAlignment="0" applyProtection="0"/>
    <xf numFmtId="0" fontId="15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3" fillId="47" borderId="0" applyNumberFormat="0" applyBorder="0" applyAlignment="0" applyProtection="0"/>
    <xf numFmtId="0" fontId="154" fillId="48" borderId="0" applyNumberFormat="0" applyBorder="0" applyAlignment="0" applyProtection="0"/>
    <xf numFmtId="0" fontId="155" fillId="46" borderId="1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102" fillId="0" borderId="0" applyNumberFormat="0" applyFill="0" applyBorder="0" applyAlignment="0" applyProtection="0"/>
  </cellStyleXfs>
  <cellXfs count="17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104">
      <alignment/>
      <protection/>
    </xf>
    <xf numFmtId="0" fontId="17" fillId="0" borderId="0" xfId="104" applyFont="1" applyAlignment="1">
      <alignment horizontal="center"/>
      <protection/>
    </xf>
    <xf numFmtId="0" fontId="11" fillId="0" borderId="0" xfId="104" applyAlignment="1">
      <alignment vertical="center"/>
      <protection/>
    </xf>
    <xf numFmtId="0" fontId="13" fillId="0" borderId="0" xfId="104" applyFont="1">
      <alignment/>
      <protection/>
    </xf>
    <xf numFmtId="0" fontId="0" fillId="0" borderId="0" xfId="0" applyFont="1" applyAlignment="1">
      <alignment wrapText="1"/>
    </xf>
    <xf numFmtId="0" fontId="0" fillId="0" borderId="19" xfId="104" applyFont="1" applyBorder="1" applyAlignment="1">
      <alignment horizontal="center" vertical="center"/>
      <protection/>
    </xf>
    <xf numFmtId="0" fontId="7" fillId="0" borderId="0" xfId="0" applyFont="1" applyAlignment="1">
      <alignment vertical="center" wrapText="1"/>
    </xf>
    <xf numFmtId="3" fontId="11" fillId="0" borderId="0" xfId="104" applyNumberFormat="1" applyAlignment="1">
      <alignment vertical="center"/>
      <protection/>
    </xf>
    <xf numFmtId="0" fontId="0" fillId="0" borderId="20" xfId="104" applyFont="1" applyBorder="1" applyAlignment="1">
      <alignment horizontal="left" vertical="center" wrapText="1"/>
      <protection/>
    </xf>
    <xf numFmtId="0" fontId="2" fillId="0" borderId="21" xfId="104" applyFont="1" applyBorder="1" applyAlignment="1">
      <alignment vertical="center" wrapText="1"/>
      <protection/>
    </xf>
    <xf numFmtId="3" fontId="5" fillId="0" borderId="0" xfId="0" applyNumberFormat="1" applyFont="1" applyAlignment="1">
      <alignment horizontal="right" vertical="center"/>
    </xf>
    <xf numFmtId="0" fontId="15" fillId="0" borderId="22" xfId="104" applyFont="1" applyBorder="1" applyAlignment="1">
      <alignment wrapText="1"/>
      <protection/>
    </xf>
    <xf numFmtId="0" fontId="12" fillId="0" borderId="23" xfId="104" applyFont="1" applyBorder="1" applyAlignment="1">
      <alignment wrapText="1"/>
      <protection/>
    </xf>
    <xf numFmtId="3" fontId="41" fillId="0" borderId="24" xfId="104" applyNumberFormat="1" applyFont="1" applyBorder="1" applyAlignment="1">
      <alignment horizontal="right"/>
      <protection/>
    </xf>
    <xf numFmtId="0" fontId="41" fillId="0" borderId="24" xfId="104" applyFont="1" applyBorder="1" applyAlignment="1">
      <alignment horizontal="right"/>
      <protection/>
    </xf>
    <xf numFmtId="3" fontId="41" fillId="0" borderId="25" xfId="104" applyNumberFormat="1" applyFont="1" applyBorder="1" applyAlignment="1">
      <alignment horizontal="right"/>
      <protection/>
    </xf>
    <xf numFmtId="3" fontId="18" fillId="0" borderId="26" xfId="74" applyNumberFormat="1" applyFont="1" applyBorder="1" applyAlignment="1">
      <alignment horizontal="right" vertical="center"/>
    </xf>
    <xf numFmtId="3" fontId="18" fillId="0" borderId="26" xfId="104" applyNumberFormat="1" applyFont="1" applyBorder="1" applyAlignment="1">
      <alignment horizontal="right"/>
      <protection/>
    </xf>
    <xf numFmtId="0" fontId="11" fillId="0" borderId="27" xfId="104" applyBorder="1" applyAlignment="1">
      <alignment horizontal="center" vertical="center"/>
      <protection/>
    </xf>
    <xf numFmtId="0" fontId="11" fillId="0" borderId="22" xfId="104" applyBorder="1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vertical="center"/>
    </xf>
    <xf numFmtId="0" fontId="0" fillId="0" borderId="24" xfId="104" applyFont="1" applyBorder="1" applyAlignment="1">
      <alignment horizontal="left" vertical="center" wrapText="1"/>
      <protection/>
    </xf>
    <xf numFmtId="0" fontId="0" fillId="0" borderId="22" xfId="104" applyFont="1" applyBorder="1" applyAlignment="1">
      <alignment horizontal="center" vertical="center"/>
      <protection/>
    </xf>
    <xf numFmtId="49" fontId="7" fillId="0" borderId="0" xfId="0" applyNumberFormat="1" applyFont="1" applyAlignment="1">
      <alignment horizontal="center" vertical="center"/>
    </xf>
    <xf numFmtId="0" fontId="10" fillId="0" borderId="0" xfId="104" applyFont="1" applyAlignment="1">
      <alignment horizontal="right" vertical="center"/>
      <protection/>
    </xf>
    <xf numFmtId="0" fontId="22" fillId="0" borderId="0" xfId="104" applyFont="1" applyAlignment="1">
      <alignment horizontal="center" vertical="center"/>
      <protection/>
    </xf>
    <xf numFmtId="3" fontId="3" fillId="0" borderId="28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41" fillId="0" borderId="29" xfId="104" applyNumberFormat="1" applyFont="1" applyBorder="1" applyAlignment="1">
      <alignment horizontal="right"/>
      <protection/>
    </xf>
    <xf numFmtId="0" fontId="15" fillId="0" borderId="30" xfId="104" applyFont="1" applyBorder="1" applyAlignment="1">
      <alignment wrapText="1"/>
      <protection/>
    </xf>
    <xf numFmtId="0" fontId="3" fillId="0" borderId="31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32" xfId="0" applyNumberFormat="1" applyFont="1" applyBorder="1" applyAlignment="1">
      <alignment horizontal="left" vertical="center"/>
    </xf>
    <xf numFmtId="49" fontId="47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8" fillId="0" borderId="0" xfId="0" applyFont="1" applyAlignment="1">
      <alignment wrapText="1"/>
    </xf>
    <xf numFmtId="49" fontId="7" fillId="0" borderId="32" xfId="0" applyNumberFormat="1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 horizontal="left"/>
    </xf>
    <xf numFmtId="49" fontId="7" fillId="0" borderId="35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left"/>
    </xf>
    <xf numFmtId="49" fontId="7" fillId="0" borderId="37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0" fontId="6" fillId="0" borderId="34" xfId="0" applyFont="1" applyBorder="1" applyAlignment="1">
      <alignment/>
    </xf>
    <xf numFmtId="3" fontId="3" fillId="0" borderId="28" xfId="0" applyNumberFormat="1" applyFont="1" applyBorder="1" applyAlignment="1">
      <alignment horizontal="right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vertical="center"/>
    </xf>
    <xf numFmtId="0" fontId="3" fillId="0" borderId="0" xfId="0" applyFont="1" applyAlignment="1">
      <alignment horizontal="centerContinuous" vertical="center" wrapText="1"/>
    </xf>
    <xf numFmtId="49" fontId="7" fillId="0" borderId="36" xfId="0" applyNumberFormat="1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3" fontId="7" fillId="0" borderId="29" xfId="0" applyNumberFormat="1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3" fontId="25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7" fontId="30" fillId="0" borderId="0" xfId="0" applyNumberFormat="1" applyFont="1" applyAlignment="1">
      <alignment horizontal="left" vertical="center" wrapText="1"/>
    </xf>
    <xf numFmtId="167" fontId="30" fillId="0" borderId="0" xfId="0" applyNumberFormat="1" applyFont="1" applyAlignment="1">
      <alignment vertical="center" wrapText="1"/>
    </xf>
    <xf numFmtId="167" fontId="49" fillId="0" borderId="0" xfId="0" applyNumberFormat="1" applyFont="1" applyAlignment="1" applyProtection="1">
      <alignment vertical="center" wrapText="1"/>
      <protection locked="0"/>
    </xf>
    <xf numFmtId="0" fontId="50" fillId="0" borderId="0" xfId="0" applyFont="1" applyAlignment="1" applyProtection="1">
      <alignment horizontal="right" vertical="top"/>
      <protection locked="0"/>
    </xf>
    <xf numFmtId="0" fontId="51" fillId="0" borderId="0" xfId="0" applyFont="1" applyAlignment="1" applyProtection="1">
      <alignment horizontal="right" vertical="top"/>
      <protection locked="0"/>
    </xf>
    <xf numFmtId="167" fontId="52" fillId="0" borderId="0" xfId="0" applyNumberFormat="1" applyFont="1" applyAlignment="1" applyProtection="1">
      <alignment vertical="center" wrapText="1"/>
      <protection locked="0"/>
    </xf>
    <xf numFmtId="0" fontId="4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1" fillId="0" borderId="0" xfId="0" applyFont="1" applyAlignment="1">
      <alignment horizontal="right"/>
    </xf>
    <xf numFmtId="0" fontId="28" fillId="0" borderId="0" xfId="0" applyFont="1" applyAlignment="1">
      <alignment vertical="center"/>
    </xf>
    <xf numFmtId="0" fontId="49" fillId="0" borderId="3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3" fillId="0" borderId="40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4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left" vertical="center" wrapText="1" indent="1"/>
    </xf>
    <xf numFmtId="167" fontId="53" fillId="0" borderId="41" xfId="0" applyNumberFormat="1" applyFont="1" applyBorder="1" applyAlignment="1">
      <alignment horizontal="right" vertical="center" wrapText="1" indent="1"/>
    </xf>
    <xf numFmtId="0" fontId="43" fillId="0" borderId="0" xfId="0" applyFont="1" applyAlignment="1">
      <alignment vertical="center" wrapText="1"/>
    </xf>
    <xf numFmtId="0" fontId="53" fillId="0" borderId="19" xfId="0" applyFont="1" applyBorder="1" applyAlignment="1">
      <alignment horizontal="center" vertical="center" wrapText="1"/>
    </xf>
    <xf numFmtId="49" fontId="45" fillId="0" borderId="24" xfId="0" applyNumberFormat="1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45" fillId="0" borderId="24" xfId="107" applyFont="1" applyBorder="1" applyAlignment="1">
      <alignment horizontal="left" vertical="center" wrapText="1" indent="1"/>
      <protection/>
    </xf>
    <xf numFmtId="167" fontId="45" fillId="0" borderId="25" xfId="0" applyNumberFormat="1" applyFont="1" applyBorder="1" applyAlignment="1" applyProtection="1">
      <alignment horizontal="right" vertical="center" wrapText="1" indent="1"/>
      <protection locked="0"/>
    </xf>
    <xf numFmtId="0" fontId="29" fillId="0" borderId="0" xfId="0" applyFont="1" applyAlignment="1">
      <alignment vertical="center" wrapText="1"/>
    </xf>
    <xf numFmtId="0" fontId="53" fillId="0" borderId="42" xfId="0" applyFont="1" applyBorder="1" applyAlignment="1">
      <alignment horizontal="center" vertical="center" wrapText="1"/>
    </xf>
    <xf numFmtId="0" fontId="45" fillId="0" borderId="21" xfId="107" applyFont="1" applyBorder="1" applyAlignment="1">
      <alignment horizontal="left" vertical="center" wrapText="1" indent="1"/>
      <protection/>
    </xf>
    <xf numFmtId="0" fontId="53" fillId="0" borderId="40" xfId="0" applyFont="1" applyBorder="1" applyAlignment="1">
      <alignment horizontal="center" vertical="center" wrapText="1"/>
    </xf>
    <xf numFmtId="0" fontId="53" fillId="0" borderId="28" xfId="107" applyFont="1" applyBorder="1" applyAlignment="1">
      <alignment horizontal="left" vertical="center" wrapText="1" indent="1"/>
      <protection/>
    </xf>
    <xf numFmtId="0" fontId="53" fillId="0" borderId="19" xfId="0" applyFont="1" applyBorder="1" applyAlignment="1">
      <alignment horizontal="center" vertical="center" wrapText="1"/>
    </xf>
    <xf numFmtId="49" fontId="45" fillId="0" borderId="20" xfId="0" applyNumberFormat="1" applyFont="1" applyBorder="1" applyAlignment="1">
      <alignment horizontal="center" vertical="center" wrapText="1"/>
    </xf>
    <xf numFmtId="0" fontId="45" fillId="0" borderId="20" xfId="107" applyFont="1" applyBorder="1" applyAlignment="1">
      <alignment horizontal="left" vertical="center" wrapText="1" indent="1"/>
      <protection/>
    </xf>
    <xf numFmtId="167" fontId="45" fillId="0" borderId="43" xfId="0" applyNumberFormat="1" applyFont="1" applyBorder="1" applyAlignment="1" applyProtection="1">
      <alignment horizontal="right" vertical="center" wrapText="1" indent="1"/>
      <protection locked="0"/>
    </xf>
    <xf numFmtId="0" fontId="53" fillId="0" borderId="44" xfId="0" applyFont="1" applyBorder="1" applyAlignment="1">
      <alignment horizontal="center" vertical="center" wrapText="1"/>
    </xf>
    <xf numFmtId="49" fontId="45" fillId="0" borderId="21" xfId="0" applyNumberFormat="1" applyFont="1" applyBorder="1" applyAlignment="1">
      <alignment horizontal="center" vertical="center" wrapText="1"/>
    </xf>
    <xf numFmtId="0" fontId="45" fillId="0" borderId="45" xfId="107" applyFont="1" applyBorder="1" applyAlignment="1">
      <alignment horizontal="left" vertical="center" wrapText="1" indent="1"/>
      <protection/>
    </xf>
    <xf numFmtId="167" fontId="45" fillId="0" borderId="46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41" xfId="0" applyNumberFormat="1" applyFont="1" applyBorder="1" applyAlignment="1" applyProtection="1">
      <alignment horizontal="right" vertical="center" wrapText="1" indent="1"/>
      <protection locked="0"/>
    </xf>
    <xf numFmtId="49" fontId="53" fillId="0" borderId="28" xfId="107" applyNumberFormat="1" applyFont="1" applyBorder="1" applyAlignment="1">
      <alignment horizontal="left" vertical="center" wrapText="1" indent="1"/>
      <protection/>
    </xf>
    <xf numFmtId="0" fontId="54" fillId="0" borderId="47" xfId="0" applyFont="1" applyBorder="1" applyAlignment="1">
      <alignment horizontal="center" vertical="center" wrapText="1"/>
    </xf>
    <xf numFmtId="0" fontId="53" fillId="0" borderId="39" xfId="107" applyFont="1" applyBorder="1" applyAlignment="1">
      <alignment horizontal="left" vertical="center" wrapText="1" indent="1"/>
      <protection/>
    </xf>
    <xf numFmtId="49" fontId="45" fillId="0" borderId="20" xfId="107" applyNumberFormat="1" applyFont="1" applyBorder="1" applyAlignment="1">
      <alignment horizontal="left" vertical="center" wrapText="1" indent="1"/>
      <protection/>
    </xf>
    <xf numFmtId="0" fontId="29" fillId="0" borderId="23" xfId="0" applyFont="1" applyBorder="1" applyAlignment="1">
      <alignment vertical="center" wrapText="1"/>
    </xf>
    <xf numFmtId="49" fontId="45" fillId="0" borderId="26" xfId="107" applyNumberFormat="1" applyFont="1" applyBorder="1" applyAlignment="1">
      <alignment horizontal="left" vertical="center" wrapText="1" indent="1"/>
      <protection/>
    </xf>
    <xf numFmtId="0" fontId="45" fillId="0" borderId="26" xfId="107" applyFont="1" applyBorder="1" applyAlignment="1">
      <alignment horizontal="left" vertical="center" wrapText="1" indent="1"/>
      <protection/>
    </xf>
    <xf numFmtId="167" fontId="45" fillId="0" borderId="48" xfId="0" applyNumberFormat="1" applyFont="1" applyBorder="1" applyAlignment="1" applyProtection="1">
      <alignment horizontal="right" vertical="center" wrapText="1" indent="1"/>
      <protection locked="0"/>
    </xf>
    <xf numFmtId="0" fontId="54" fillId="0" borderId="40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wrapText="1"/>
    </xf>
    <xf numFmtId="0" fontId="53" fillId="0" borderId="49" xfId="107" applyFont="1" applyBorder="1" applyAlignment="1">
      <alignment horizontal="left" vertical="center" wrapText="1" indent="1"/>
      <protection/>
    </xf>
    <xf numFmtId="0" fontId="56" fillId="0" borderId="49" xfId="0" applyFont="1" applyBorder="1" applyAlignment="1">
      <alignment horizontal="center" wrapText="1"/>
    </xf>
    <xf numFmtId="0" fontId="57" fillId="0" borderId="49" xfId="0" applyFont="1" applyBorder="1" applyAlignment="1">
      <alignment horizontal="left" wrapText="1" indent="1"/>
    </xf>
    <xf numFmtId="167" fontId="53" fillId="0" borderId="50" xfId="0" applyNumberFormat="1" applyFont="1" applyBorder="1" applyAlignment="1">
      <alignment horizontal="right" vertical="center" wrapText="1" indent="1"/>
    </xf>
    <xf numFmtId="0" fontId="45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 indent="1"/>
    </xf>
    <xf numFmtId="167" fontId="53" fillId="0" borderId="0" xfId="0" applyNumberFormat="1" applyFont="1" applyAlignment="1">
      <alignment horizontal="right" vertical="center" wrapText="1" indent="1"/>
    </xf>
    <xf numFmtId="0" fontId="58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right" vertical="center" wrapText="1" indent="1"/>
    </xf>
    <xf numFmtId="0" fontId="53" fillId="0" borderId="31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53" fillId="0" borderId="28" xfId="107" applyFont="1" applyBorder="1" applyAlignment="1">
      <alignment horizontal="left" vertical="center" wrapText="1" indent="1"/>
      <protection/>
    </xf>
    <xf numFmtId="0" fontId="53" fillId="0" borderId="27" xfId="0" applyFont="1" applyBorder="1" applyAlignment="1">
      <alignment horizontal="center" vertical="center" wrapText="1"/>
    </xf>
    <xf numFmtId="49" fontId="45" fillId="0" borderId="21" xfId="107" applyNumberFormat="1" applyFont="1" applyBorder="1" applyAlignment="1">
      <alignment horizontal="left" vertical="center" wrapText="1" indent="1"/>
      <protection/>
    </xf>
    <xf numFmtId="0" fontId="53" fillId="0" borderId="22" xfId="0" applyFont="1" applyBorder="1" applyAlignment="1">
      <alignment horizontal="center" vertical="center" wrapText="1"/>
    </xf>
    <xf numFmtId="49" fontId="45" fillId="0" borderId="24" xfId="107" applyNumberFormat="1" applyFont="1" applyBorder="1" applyAlignment="1">
      <alignment horizontal="left" vertical="center" wrapText="1" indent="1"/>
      <protection/>
    </xf>
    <xf numFmtId="167" fontId="45" fillId="0" borderId="25" xfId="0" applyNumberFormat="1" applyFont="1" applyBorder="1" applyAlignment="1" applyProtection="1">
      <alignment horizontal="right" vertical="center" wrapText="1" indent="1"/>
      <protection locked="0"/>
    </xf>
    <xf numFmtId="0" fontId="45" fillId="0" borderId="28" xfId="0" applyFont="1" applyBorder="1" applyAlignment="1">
      <alignment horizontal="center" vertical="center" wrapText="1"/>
    </xf>
    <xf numFmtId="167" fontId="53" fillId="0" borderId="41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8" fillId="0" borderId="40" xfId="0" applyFont="1" applyBorder="1" applyAlignment="1">
      <alignment horizontal="left" vertical="center"/>
    </xf>
    <xf numFmtId="0" fontId="59" fillId="0" borderId="38" xfId="0" applyFont="1" applyBorder="1" applyAlignment="1">
      <alignment vertical="center" wrapText="1"/>
    </xf>
    <xf numFmtId="167" fontId="53" fillId="0" borderId="38" xfId="0" applyNumberFormat="1" applyFont="1" applyBorder="1" applyAlignment="1">
      <alignment horizontal="right" vertical="center" wrapText="1" indent="1"/>
    </xf>
    <xf numFmtId="167" fontId="49" fillId="0" borderId="29" xfId="0" applyNumberFormat="1" applyFont="1" applyBorder="1" applyAlignment="1">
      <alignment horizontal="center" vertical="center" wrapText="1"/>
    </xf>
    <xf numFmtId="167" fontId="53" fillId="0" borderId="28" xfId="0" applyNumberFormat="1" applyFont="1" applyBorder="1" applyAlignment="1">
      <alignment horizontal="right" vertical="center" wrapText="1" indent="1"/>
    </xf>
    <xf numFmtId="167" fontId="45" fillId="0" borderId="24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20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45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28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39" xfId="0" applyNumberFormat="1" applyFont="1" applyBorder="1" applyAlignment="1">
      <alignment horizontal="right" vertical="center" wrapText="1" indent="1"/>
    </xf>
    <xf numFmtId="167" fontId="45" fillId="0" borderId="26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28" xfId="0" applyNumberFormat="1" applyFont="1" applyBorder="1" applyAlignment="1">
      <alignment horizontal="right" vertical="center" wrapText="1" indent="1"/>
    </xf>
    <xf numFmtId="167" fontId="45" fillId="0" borderId="21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24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51" xfId="0" applyNumberFormat="1" applyFont="1" applyBorder="1" applyAlignment="1" applyProtection="1">
      <alignment horizontal="right" vertical="center" wrapText="1" indent="1"/>
      <protection locked="0"/>
    </xf>
    <xf numFmtId="3" fontId="28" fillId="0" borderId="50" xfId="0" applyNumberFormat="1" applyFont="1" applyBorder="1" applyAlignment="1" applyProtection="1">
      <alignment horizontal="right" vertical="center" wrapText="1" indent="1"/>
      <protection locked="0"/>
    </xf>
    <xf numFmtId="3" fontId="28" fillId="0" borderId="28" xfId="0" applyNumberFormat="1" applyFont="1" applyBorder="1" applyAlignment="1" applyProtection="1">
      <alignment horizontal="right" vertical="center" wrapText="1" indent="1"/>
      <protection locked="0"/>
    </xf>
    <xf numFmtId="167" fontId="0" fillId="0" borderId="0" xfId="0" applyNumberFormat="1" applyAlignment="1">
      <alignment vertical="center" wrapText="1"/>
    </xf>
    <xf numFmtId="0" fontId="30" fillId="0" borderId="0" xfId="107">
      <alignment/>
      <protection/>
    </xf>
    <xf numFmtId="3" fontId="45" fillId="0" borderId="0" xfId="107" applyNumberFormat="1" applyFont="1">
      <alignment/>
      <protection/>
    </xf>
    <xf numFmtId="167" fontId="45" fillId="0" borderId="0" xfId="107" applyNumberFormat="1" applyFont="1">
      <alignment/>
      <protection/>
    </xf>
    <xf numFmtId="0" fontId="53" fillId="0" borderId="40" xfId="107" applyFont="1" applyBorder="1" applyAlignment="1">
      <alignment horizontal="left" vertical="center" wrapText="1" indent="1"/>
      <protection/>
    </xf>
    <xf numFmtId="0" fontId="61" fillId="0" borderId="0" xfId="107" applyFont="1">
      <alignment/>
      <protection/>
    </xf>
    <xf numFmtId="49" fontId="45" fillId="0" borderId="0" xfId="107" applyNumberFormat="1" applyFont="1" applyAlignment="1">
      <alignment horizontal="left" vertical="center" wrapText="1" indent="1"/>
      <protection/>
    </xf>
    <xf numFmtId="0" fontId="45" fillId="0" borderId="0" xfId="107" applyFont="1" applyAlignment="1">
      <alignment horizontal="left" indent="5"/>
      <protection/>
    </xf>
    <xf numFmtId="3" fontId="45" fillId="0" borderId="0" xfId="107" applyNumberFormat="1" applyFont="1" applyAlignment="1">
      <alignment horizontal="right" vertical="center" wrapText="1"/>
      <protection/>
    </xf>
    <xf numFmtId="0" fontId="46" fillId="0" borderId="0" xfId="107" applyFont="1" applyAlignment="1">
      <alignment horizontal="center" wrapText="1"/>
      <protection/>
    </xf>
    <xf numFmtId="0" fontId="45" fillId="0" borderId="0" xfId="107" applyFont="1">
      <alignment/>
      <protection/>
    </xf>
    <xf numFmtId="49" fontId="2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49" fontId="7" fillId="0" borderId="52" xfId="0" applyNumberFormat="1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53" fillId="0" borderId="19" xfId="107" applyFont="1" applyBorder="1" applyAlignment="1">
      <alignment horizontal="left" vertical="center" wrapText="1" indent="1"/>
      <protection/>
    </xf>
    <xf numFmtId="49" fontId="53" fillId="0" borderId="22" xfId="107" applyNumberFormat="1" applyFont="1" applyBorder="1" applyAlignment="1">
      <alignment horizontal="left" vertical="center" wrapText="1" indent="1"/>
      <protection/>
    </xf>
    <xf numFmtId="49" fontId="53" fillId="0" borderId="23" xfId="107" applyNumberFormat="1" applyFont="1" applyBorder="1" applyAlignment="1">
      <alignment horizontal="left" vertical="center" wrapText="1" indent="1"/>
      <protection/>
    </xf>
    <xf numFmtId="167" fontId="27" fillId="0" borderId="28" xfId="107" applyNumberFormat="1" applyFont="1" applyBorder="1" applyAlignment="1">
      <alignment horizontal="right" vertical="center" wrapText="1"/>
      <protection/>
    </xf>
    <xf numFmtId="167" fontId="42" fillId="0" borderId="53" xfId="107" applyNumberFormat="1" applyFont="1" applyBorder="1" applyAlignment="1">
      <alignment horizontal="left" vertical="center"/>
      <protection/>
    </xf>
    <xf numFmtId="3" fontId="27" fillId="0" borderId="20" xfId="107" applyNumberFormat="1" applyFont="1" applyBorder="1" applyAlignment="1">
      <alignment horizontal="right" vertical="center" wrapText="1"/>
      <protection/>
    </xf>
    <xf numFmtId="3" fontId="27" fillId="0" borderId="24" xfId="107" applyNumberFormat="1" applyFont="1" applyBorder="1" applyAlignment="1">
      <alignment horizontal="right" vertical="center" wrapText="1"/>
      <protection/>
    </xf>
    <xf numFmtId="3" fontId="27" fillId="0" borderId="26" xfId="107" applyNumberFormat="1" applyFont="1" applyBorder="1" applyAlignment="1">
      <alignment horizontal="right" vertical="center" wrapText="1"/>
      <protection/>
    </xf>
    <xf numFmtId="49" fontId="43" fillId="0" borderId="22" xfId="107" applyNumberFormat="1" applyFont="1" applyBorder="1" applyAlignment="1">
      <alignment horizontal="left" vertical="center" wrapText="1"/>
      <protection/>
    </xf>
    <xf numFmtId="49" fontId="29" fillId="0" borderId="22" xfId="107" applyNumberFormat="1" applyFont="1" applyBorder="1" applyAlignment="1">
      <alignment horizontal="left"/>
      <protection/>
    </xf>
    <xf numFmtId="49" fontId="29" fillId="0" borderId="22" xfId="107" applyNumberFormat="1" applyFont="1" applyBorder="1" applyAlignment="1">
      <alignment horizontal="left" vertical="center" wrapText="1"/>
      <protection/>
    </xf>
    <xf numFmtId="0" fontId="27" fillId="0" borderId="19" xfId="107" applyFont="1" applyBorder="1" applyAlignment="1">
      <alignment horizontal="center"/>
      <protection/>
    </xf>
    <xf numFmtId="3" fontId="27" fillId="0" borderId="20" xfId="107" applyNumberFormat="1" applyFont="1" applyBorder="1">
      <alignment/>
      <protection/>
    </xf>
    <xf numFmtId="3" fontId="29" fillId="0" borderId="24" xfId="107" applyNumberFormat="1" applyFont="1" applyBorder="1">
      <alignment/>
      <protection/>
    </xf>
    <xf numFmtId="167" fontId="29" fillId="0" borderId="24" xfId="107" applyNumberFormat="1" applyFont="1" applyBorder="1">
      <alignment/>
      <protection/>
    </xf>
    <xf numFmtId="49" fontId="43" fillId="0" borderId="23" xfId="107" applyNumberFormat="1" applyFont="1" applyBorder="1" applyAlignment="1">
      <alignment horizontal="left"/>
      <protection/>
    </xf>
    <xf numFmtId="3" fontId="29" fillId="0" borderId="26" xfId="107" applyNumberFormat="1" applyFont="1" applyBorder="1">
      <alignment/>
      <protection/>
    </xf>
    <xf numFmtId="167" fontId="27" fillId="0" borderId="45" xfId="107" applyNumberFormat="1" applyFont="1" applyBorder="1" applyAlignment="1">
      <alignment horizontal="right" vertical="center" wrapText="1"/>
      <protection/>
    </xf>
    <xf numFmtId="167" fontId="27" fillId="0" borderId="20" xfId="107" applyNumberFormat="1" applyFont="1" applyBorder="1" applyAlignment="1">
      <alignment horizontal="right" vertical="center" wrapText="1"/>
      <protection/>
    </xf>
    <xf numFmtId="167" fontId="27" fillId="0" borderId="24" xfId="107" applyNumberFormat="1" applyFont="1" applyBorder="1" applyAlignment="1">
      <alignment horizontal="right" vertical="center" wrapText="1"/>
      <protection/>
    </xf>
    <xf numFmtId="3" fontId="18" fillId="0" borderId="48" xfId="104" applyNumberFormat="1" applyFont="1" applyBorder="1" applyAlignment="1">
      <alignment horizontal="right"/>
      <protection/>
    </xf>
    <xf numFmtId="0" fontId="7" fillId="0" borderId="5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167" fontId="53" fillId="0" borderId="49" xfId="0" applyNumberFormat="1" applyFont="1" applyBorder="1" applyAlignment="1" applyProtection="1">
      <alignment horizontal="right" vertical="center" wrapText="1" indent="1"/>
      <protection locked="0"/>
    </xf>
    <xf numFmtId="167" fontId="49" fillId="0" borderId="39" xfId="0" applyNumberFormat="1" applyFont="1" applyBorder="1" applyAlignment="1">
      <alignment horizontal="center" vertical="center" wrapText="1"/>
    </xf>
    <xf numFmtId="167" fontId="49" fillId="0" borderId="55" xfId="0" applyNumberFormat="1" applyFont="1" applyBorder="1" applyAlignment="1">
      <alignment horizontal="center" vertical="center" wrapText="1"/>
    </xf>
    <xf numFmtId="167" fontId="53" fillId="0" borderId="49" xfId="0" applyNumberFormat="1" applyFont="1" applyBorder="1" applyAlignment="1">
      <alignment horizontal="right" vertical="center" wrapText="1" indent="1"/>
    </xf>
    <xf numFmtId="167" fontId="53" fillId="0" borderId="56" xfId="0" applyNumberFormat="1" applyFont="1" applyBorder="1" applyAlignment="1">
      <alignment horizontal="right" vertical="center" wrapText="1" indent="1"/>
    </xf>
    <xf numFmtId="167" fontId="45" fillId="0" borderId="57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49" xfId="0" applyNumberFormat="1" applyFont="1" applyBorder="1" applyAlignment="1">
      <alignment horizontal="right" vertical="center" wrapText="1" indent="1"/>
    </xf>
    <xf numFmtId="167" fontId="49" fillId="0" borderId="58" xfId="0" applyNumberFormat="1" applyFont="1" applyBorder="1" applyAlignment="1">
      <alignment horizontal="center" vertical="center" wrapText="1"/>
    </xf>
    <xf numFmtId="167" fontId="49" fillId="0" borderId="59" xfId="0" applyNumberFormat="1" applyFont="1" applyBorder="1" applyAlignment="1">
      <alignment horizontal="center" vertical="center" wrapText="1"/>
    </xf>
    <xf numFmtId="167" fontId="53" fillId="0" borderId="60" xfId="0" applyNumberFormat="1" applyFont="1" applyBorder="1" applyAlignment="1" applyProtection="1">
      <alignment horizontal="right" vertical="center" wrapText="1" indent="1"/>
      <protection locked="0"/>
    </xf>
    <xf numFmtId="3" fontId="3" fillId="49" borderId="28" xfId="0" applyNumberFormat="1" applyFont="1" applyFill="1" applyBorder="1" applyAlignment="1">
      <alignment horizontal="right" vertical="center" wrapText="1"/>
    </xf>
    <xf numFmtId="3" fontId="7" fillId="49" borderId="21" xfId="0" applyNumberFormat="1" applyFont="1" applyFill="1" applyBorder="1" applyAlignment="1">
      <alignment horizontal="right" vertical="center" wrapText="1"/>
    </xf>
    <xf numFmtId="3" fontId="7" fillId="49" borderId="24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0" fontId="46" fillId="0" borderId="0" xfId="107" applyFont="1" applyAlignment="1">
      <alignment horizontal="center"/>
      <protection/>
    </xf>
    <xf numFmtId="0" fontId="3" fillId="0" borderId="3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3" fillId="0" borderId="61" xfId="0" applyFont="1" applyBorder="1" applyAlignment="1">
      <alignment horizontal="center" vertical="center" wrapText="1"/>
    </xf>
    <xf numFmtId="167" fontId="49" fillId="0" borderId="62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Continuous" vertical="center" wrapText="1"/>
    </xf>
    <xf numFmtId="0" fontId="12" fillId="1" borderId="27" xfId="104" applyFont="1" applyFill="1" applyBorder="1" applyAlignment="1">
      <alignment horizontal="center" vertical="center" wrapText="1"/>
      <protection/>
    </xf>
    <xf numFmtId="0" fontId="12" fillId="1" borderId="21" xfId="104" applyFont="1" applyFill="1" applyBorder="1" applyAlignment="1">
      <alignment horizontal="center" vertical="center"/>
      <protection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11" fillId="0" borderId="0" xfId="104" applyAlignment="1">
      <alignment wrapText="1"/>
      <protection/>
    </xf>
    <xf numFmtId="0" fontId="0" fillId="0" borderId="0" xfId="0" applyFont="1" applyAlignment="1">
      <alignment vertical="center" wrapText="1"/>
    </xf>
    <xf numFmtId="0" fontId="67" fillId="0" borderId="49" xfId="0" applyFont="1" applyBorder="1" applyAlignment="1">
      <alignment horizontal="center" wrapText="1"/>
    </xf>
    <xf numFmtId="0" fontId="51" fillId="0" borderId="49" xfId="0" applyFont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 indent="1"/>
    </xf>
    <xf numFmtId="167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8" xfId="0" applyFont="1" applyBorder="1" applyAlignment="1">
      <alignment horizontal="center" vertical="center" wrapText="1"/>
    </xf>
    <xf numFmtId="0" fontId="13" fillId="0" borderId="31" xfId="104" applyFont="1" applyBorder="1" applyAlignment="1">
      <alignment horizontal="center" vertical="center"/>
      <protection/>
    </xf>
    <xf numFmtId="3" fontId="13" fillId="0" borderId="27" xfId="104" applyNumberFormat="1" applyFont="1" applyBorder="1" applyAlignment="1">
      <alignment vertical="center"/>
      <protection/>
    </xf>
    <xf numFmtId="0" fontId="11" fillId="0" borderId="34" xfId="104" applyBorder="1" applyAlignment="1">
      <alignment vertical="center" wrapText="1"/>
      <protection/>
    </xf>
    <xf numFmtId="0" fontId="11" fillId="0" borderId="32" xfId="104" applyBorder="1" applyAlignment="1">
      <alignment vertical="center" wrapText="1"/>
      <protection/>
    </xf>
    <xf numFmtId="0" fontId="11" fillId="0" borderId="36" xfId="104" applyBorder="1" applyAlignment="1">
      <alignment vertical="center" wrapText="1"/>
      <protection/>
    </xf>
    <xf numFmtId="0" fontId="11" fillId="0" borderId="63" xfId="104" applyBorder="1" applyAlignment="1">
      <alignment vertical="center" wrapText="1"/>
      <protection/>
    </xf>
    <xf numFmtId="0" fontId="13" fillId="0" borderId="64" xfId="104" applyFont="1" applyBorder="1" applyAlignment="1">
      <alignment vertical="center" wrapText="1"/>
      <protection/>
    </xf>
    <xf numFmtId="0" fontId="11" fillId="0" borderId="34" xfId="104" applyBorder="1" applyAlignment="1">
      <alignment vertical="center"/>
      <protection/>
    </xf>
    <xf numFmtId="0" fontId="11" fillId="0" borderId="36" xfId="104" applyBorder="1" applyAlignment="1">
      <alignment vertical="center"/>
      <protection/>
    </xf>
    <xf numFmtId="0" fontId="13" fillId="0" borderId="31" xfId="104" applyFont="1" applyBorder="1" applyAlignment="1">
      <alignment vertical="center"/>
      <protection/>
    </xf>
    <xf numFmtId="0" fontId="17" fillId="0" borderId="31" xfId="104" applyFont="1" applyBorder="1" applyAlignment="1">
      <alignment horizontal="center" vertical="center"/>
      <protection/>
    </xf>
    <xf numFmtId="0" fontId="10" fillId="0" borderId="64" xfId="0" applyFont="1" applyBorder="1" applyAlignment="1">
      <alignment horizontal="center" vertical="center" wrapText="1"/>
    </xf>
    <xf numFmtId="0" fontId="19" fillId="0" borderId="36" xfId="104" applyFont="1" applyBorder="1" applyAlignment="1">
      <alignment vertical="center" wrapText="1"/>
      <protection/>
    </xf>
    <xf numFmtId="0" fontId="13" fillId="0" borderId="31" xfId="104" applyFont="1" applyBorder="1" applyAlignment="1">
      <alignment vertical="center" wrapText="1"/>
      <protection/>
    </xf>
    <xf numFmtId="0" fontId="38" fillId="0" borderId="64" xfId="104" applyFont="1" applyBorder="1" applyAlignment="1">
      <alignment horizontal="center" vertical="center"/>
      <protection/>
    </xf>
    <xf numFmtId="0" fontId="7" fillId="0" borderId="35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3" xfId="84" applyFont="1" applyBorder="1" applyAlignment="1" applyProtection="1">
      <alignment vertical="center" wrapText="1"/>
      <protection/>
    </xf>
    <xf numFmtId="0" fontId="7" fillId="0" borderId="37" xfId="0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39" fillId="0" borderId="40" xfId="0" applyNumberFormat="1" applyFont="1" applyBorder="1" applyAlignment="1">
      <alignment vertical="center"/>
    </xf>
    <xf numFmtId="3" fontId="39" fillId="0" borderId="28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horizontal="right" vertical="center"/>
    </xf>
    <xf numFmtId="3" fontId="7" fillId="0" borderId="30" xfId="0" applyNumberFormat="1" applyFont="1" applyBorder="1" applyAlignment="1">
      <alignment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3" fontId="3" fillId="49" borderId="40" xfId="0" applyNumberFormat="1" applyFont="1" applyFill="1" applyBorder="1" applyAlignment="1">
      <alignment horizontal="right" vertical="center" wrapText="1"/>
    </xf>
    <xf numFmtId="3" fontId="7" fillId="49" borderId="27" xfId="0" applyNumberFormat="1" applyFont="1" applyFill="1" applyBorder="1" applyAlignment="1">
      <alignment horizontal="right" vertical="center" wrapText="1"/>
    </xf>
    <xf numFmtId="3" fontId="7" fillId="49" borderId="22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vertical="center"/>
    </xf>
    <xf numFmtId="49" fontId="0" fillId="0" borderId="54" xfId="0" applyNumberFormat="1" applyFont="1" applyBorder="1" applyAlignment="1">
      <alignment horizontal="left"/>
    </xf>
    <xf numFmtId="0" fontId="13" fillId="0" borderId="38" xfId="104" applyFont="1" applyBorder="1" applyAlignment="1">
      <alignment horizontal="center" vertical="center"/>
      <protection/>
    </xf>
    <xf numFmtId="49" fontId="3" fillId="0" borderId="65" xfId="0" applyNumberFormat="1" applyFont="1" applyBorder="1" applyAlignment="1">
      <alignment horizontal="left" vertical="center"/>
    </xf>
    <xf numFmtId="3" fontId="3" fillId="0" borderId="47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11" fillId="0" borderId="0" xfId="104" applyNumberFormat="1">
      <alignment/>
      <protection/>
    </xf>
    <xf numFmtId="10" fontId="53" fillId="0" borderId="41" xfId="0" applyNumberFormat="1" applyFont="1" applyBorder="1" applyAlignment="1">
      <alignment horizontal="right" vertical="center" wrapText="1" indent="1"/>
    </xf>
    <xf numFmtId="3" fontId="41" fillId="0" borderId="66" xfId="104" applyNumberFormat="1" applyFont="1" applyBorder="1" applyAlignment="1">
      <alignment horizontal="right"/>
      <protection/>
    </xf>
    <xf numFmtId="0" fontId="41" fillId="0" borderId="22" xfId="104" applyFont="1" applyBorder="1" applyAlignment="1">
      <alignment horizontal="right"/>
      <protection/>
    </xf>
    <xf numFmtId="3" fontId="41" fillId="0" borderId="22" xfId="104" applyNumberFormat="1" applyFont="1" applyBorder="1" applyAlignment="1">
      <alignment horizontal="right"/>
      <protection/>
    </xf>
    <xf numFmtId="3" fontId="41" fillId="0" borderId="62" xfId="104" applyNumberFormat="1" applyFont="1" applyBorder="1" applyAlignment="1">
      <alignment horizontal="right"/>
      <protection/>
    </xf>
    <xf numFmtId="0" fontId="3" fillId="0" borderId="4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Continuous" vertical="center" wrapText="1"/>
    </xf>
    <xf numFmtId="0" fontId="3" fillId="0" borderId="41" xfId="0" applyFont="1" applyBorder="1" applyAlignment="1">
      <alignment horizontal="centerContinuous" vertical="center" wrapText="1"/>
    </xf>
    <xf numFmtId="3" fontId="7" fillId="0" borderId="24" xfId="0" applyNumberFormat="1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10" fontId="4" fillId="0" borderId="28" xfId="0" applyNumberFormat="1" applyFont="1" applyBorder="1" applyAlignment="1">
      <alignment vertical="center"/>
    </xf>
    <xf numFmtId="10" fontId="4" fillId="0" borderId="41" xfId="0" applyNumberFormat="1" applyFont="1" applyBorder="1" applyAlignment="1">
      <alignment vertical="center"/>
    </xf>
    <xf numFmtId="0" fontId="11" fillId="0" borderId="35" xfId="104" applyBorder="1" applyAlignment="1">
      <alignment vertical="center" wrapText="1"/>
      <protection/>
    </xf>
    <xf numFmtId="0" fontId="11" fillId="0" borderId="33" xfId="104" applyBorder="1" applyAlignment="1">
      <alignment vertical="center" wrapText="1"/>
      <protection/>
    </xf>
    <xf numFmtId="0" fontId="11" fillId="0" borderId="37" xfId="104" applyBorder="1" applyAlignment="1">
      <alignment vertical="center" wrapText="1"/>
      <protection/>
    </xf>
    <xf numFmtId="0" fontId="11" fillId="0" borderId="67" xfId="104" applyBorder="1" applyAlignment="1">
      <alignment vertical="center" wrapText="1"/>
      <protection/>
    </xf>
    <xf numFmtId="0" fontId="13" fillId="0" borderId="38" xfId="104" applyFont="1" applyBorder="1" applyAlignment="1">
      <alignment vertical="center" wrapText="1"/>
      <protection/>
    </xf>
    <xf numFmtId="0" fontId="17" fillId="0" borderId="38" xfId="104" applyFont="1" applyBorder="1" applyAlignment="1">
      <alignment horizontal="center" vertical="center" wrapText="1"/>
      <protection/>
    </xf>
    <xf numFmtId="0" fontId="11" fillId="0" borderId="52" xfId="104" applyBorder="1" applyAlignment="1">
      <alignment vertical="center" wrapText="1"/>
      <protection/>
    </xf>
    <xf numFmtId="0" fontId="13" fillId="0" borderId="38" xfId="104" applyFont="1" applyBorder="1" applyAlignment="1">
      <alignment vertical="center"/>
      <protection/>
    </xf>
    <xf numFmtId="0" fontId="11" fillId="0" borderId="37" xfId="104" applyBorder="1" applyAlignment="1">
      <alignment vertical="center"/>
      <protection/>
    </xf>
    <xf numFmtId="0" fontId="10" fillId="0" borderId="53" xfId="0" applyFont="1" applyBorder="1" applyAlignment="1">
      <alignment horizontal="center" vertical="center" wrapText="1"/>
    </xf>
    <xf numFmtId="0" fontId="38" fillId="0" borderId="38" xfId="104" applyFont="1" applyBorder="1" applyAlignment="1">
      <alignment horizontal="center" vertical="center"/>
      <protection/>
    </xf>
    <xf numFmtId="0" fontId="13" fillId="0" borderId="40" xfId="104" applyFont="1" applyBorder="1" applyAlignment="1">
      <alignment horizontal="center" vertical="center"/>
      <protection/>
    </xf>
    <xf numFmtId="0" fontId="13" fillId="0" borderId="28" xfId="104" applyFont="1" applyBorder="1" applyAlignment="1">
      <alignment horizontal="center" vertical="center"/>
      <protection/>
    </xf>
    <xf numFmtId="0" fontId="13" fillId="0" borderId="41" xfId="104" applyFont="1" applyBorder="1" applyAlignment="1">
      <alignment horizontal="center" vertical="center"/>
      <protection/>
    </xf>
    <xf numFmtId="3" fontId="11" fillId="0" borderId="27" xfId="104" applyNumberFormat="1" applyBorder="1" applyAlignment="1">
      <alignment vertical="center"/>
      <protection/>
    </xf>
    <xf numFmtId="3" fontId="11" fillId="0" borderId="22" xfId="104" applyNumberFormat="1" applyBorder="1" applyAlignment="1">
      <alignment vertical="center"/>
      <protection/>
    </xf>
    <xf numFmtId="3" fontId="11" fillId="0" borderId="30" xfId="104" applyNumberFormat="1" applyBorder="1" applyAlignment="1">
      <alignment vertical="center"/>
      <protection/>
    </xf>
    <xf numFmtId="3" fontId="11" fillId="0" borderId="23" xfId="104" applyNumberFormat="1" applyBorder="1" applyAlignment="1">
      <alignment vertical="center"/>
      <protection/>
    </xf>
    <xf numFmtId="3" fontId="11" fillId="0" borderId="44" xfId="104" applyNumberFormat="1" applyBorder="1" applyAlignment="1">
      <alignment vertical="center"/>
      <protection/>
    </xf>
    <xf numFmtId="3" fontId="13" fillId="0" borderId="30" xfId="104" applyNumberFormat="1" applyFont="1" applyBorder="1" applyAlignment="1">
      <alignment vertical="center"/>
      <protection/>
    </xf>
    <xf numFmtId="3" fontId="13" fillId="0" borderId="40" xfId="104" applyNumberFormat="1" applyFont="1" applyBorder="1" applyAlignment="1">
      <alignment vertical="center"/>
      <protection/>
    </xf>
    <xf numFmtId="3" fontId="17" fillId="0" borderId="40" xfId="104" applyNumberFormat="1" applyFont="1" applyBorder="1" applyAlignment="1">
      <alignment vertical="center"/>
      <protection/>
    </xf>
    <xf numFmtId="3" fontId="11" fillId="0" borderId="19" xfId="104" applyNumberFormat="1" applyBorder="1" applyAlignment="1">
      <alignment vertical="center"/>
      <protection/>
    </xf>
    <xf numFmtId="3" fontId="17" fillId="0" borderId="30" xfId="104" applyNumberFormat="1" applyFont="1" applyBorder="1" applyAlignment="1">
      <alignment vertical="center"/>
      <protection/>
    </xf>
    <xf numFmtId="3" fontId="17" fillId="0" borderId="44" xfId="104" applyNumberFormat="1" applyFont="1" applyBorder="1" applyAlignment="1">
      <alignment vertical="center"/>
      <protection/>
    </xf>
    <xf numFmtId="3" fontId="38" fillId="0" borderId="44" xfId="104" applyNumberFormat="1" applyFont="1" applyBorder="1" applyAlignment="1">
      <alignment vertical="center"/>
      <protection/>
    </xf>
    <xf numFmtId="3" fontId="11" fillId="0" borderId="40" xfId="104" applyNumberFormat="1" applyBorder="1" applyAlignment="1">
      <alignment vertical="center"/>
      <protection/>
    </xf>
    <xf numFmtId="3" fontId="38" fillId="0" borderId="40" xfId="104" applyNumberFormat="1" applyFont="1" applyBorder="1" applyAlignment="1">
      <alignment vertical="center"/>
      <protection/>
    </xf>
    <xf numFmtId="0" fontId="3" fillId="0" borderId="40" xfId="0" applyFont="1" applyBorder="1" applyAlignment="1">
      <alignment horizontal="centerContinuous" vertical="center" wrapText="1"/>
    </xf>
    <xf numFmtId="3" fontId="3" fillId="0" borderId="3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3" fontId="7" fillId="49" borderId="19" xfId="0" applyNumberFormat="1" applyFont="1" applyFill="1" applyBorder="1" applyAlignment="1">
      <alignment horizontal="right" vertical="center" wrapText="1"/>
    </xf>
    <xf numFmtId="3" fontId="7" fillId="49" borderId="20" xfId="0" applyNumberFormat="1" applyFont="1" applyFill="1" applyBorder="1" applyAlignment="1">
      <alignment horizontal="right" vertical="center" wrapText="1"/>
    </xf>
    <xf numFmtId="49" fontId="0" fillId="0" borderId="63" xfId="0" applyNumberFormat="1" applyFont="1" applyBorder="1" applyAlignment="1">
      <alignment horizontal="left"/>
    </xf>
    <xf numFmtId="49" fontId="7" fillId="0" borderId="68" xfId="0" applyNumberFormat="1" applyFont="1" applyBorder="1" applyAlignment="1">
      <alignment horizontal="left" vertical="center"/>
    </xf>
    <xf numFmtId="0" fontId="49" fillId="0" borderId="56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167" fontId="53" fillId="0" borderId="50" xfId="0" applyNumberFormat="1" applyFont="1" applyBorder="1" applyAlignment="1">
      <alignment horizontal="right" vertical="center" wrapText="1" indent="1"/>
    </xf>
    <xf numFmtId="167" fontId="53" fillId="0" borderId="50" xfId="0" applyNumberFormat="1" applyFont="1" applyBorder="1" applyAlignment="1" applyProtection="1">
      <alignment horizontal="right" vertical="center" wrapText="1" indent="1"/>
      <protection locked="0"/>
    </xf>
    <xf numFmtId="10" fontId="53" fillId="0" borderId="38" xfId="0" applyNumberFormat="1" applyFont="1" applyBorder="1" applyAlignment="1">
      <alignment horizontal="right" vertical="center" wrapText="1" indent="1"/>
    </xf>
    <xf numFmtId="10" fontId="45" fillId="0" borderId="52" xfId="0" applyNumberFormat="1" applyFont="1" applyBorder="1" applyAlignment="1">
      <alignment horizontal="right" vertical="center" wrapText="1" indent="1"/>
    </xf>
    <xf numFmtId="167" fontId="53" fillId="0" borderId="38" xfId="0" applyNumberFormat="1" applyFont="1" applyBorder="1" applyAlignment="1">
      <alignment horizontal="right" vertical="center" wrapText="1" indent="1"/>
    </xf>
    <xf numFmtId="167" fontId="49" fillId="0" borderId="30" xfId="0" applyNumberFormat="1" applyFont="1" applyBorder="1" applyAlignment="1">
      <alignment horizontal="center" vertical="center" wrapText="1"/>
    </xf>
    <xf numFmtId="167" fontId="53" fillId="0" borderId="40" xfId="0" applyNumberFormat="1" applyFont="1" applyBorder="1" applyAlignment="1">
      <alignment horizontal="right" vertical="center" wrapText="1" indent="1"/>
    </xf>
    <xf numFmtId="167" fontId="53" fillId="0" borderId="42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22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19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44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40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47" xfId="0" applyNumberFormat="1" applyFont="1" applyBorder="1" applyAlignment="1">
      <alignment horizontal="right" vertical="center" wrapText="1" indent="1"/>
    </xf>
    <xf numFmtId="167" fontId="45" fillId="0" borderId="23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40" xfId="0" applyNumberFormat="1" applyFont="1" applyBorder="1" applyAlignment="1">
      <alignment horizontal="right" vertical="center" wrapText="1" indent="1"/>
    </xf>
    <xf numFmtId="167" fontId="45" fillId="0" borderId="27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21" xfId="0" applyNumberFormat="1" applyFont="1" applyBorder="1" applyAlignment="1" applyProtection="1">
      <alignment horizontal="right" vertical="center" wrapText="1" indent="1"/>
      <protection locked="0"/>
    </xf>
    <xf numFmtId="0" fontId="53" fillId="0" borderId="61" xfId="107" applyFont="1" applyBorder="1" applyAlignment="1">
      <alignment horizontal="left" vertical="center" wrapText="1" indent="1"/>
      <protection/>
    </xf>
    <xf numFmtId="0" fontId="45" fillId="0" borderId="69" xfId="107" applyFont="1" applyBorder="1" applyAlignment="1">
      <alignment horizontal="left" vertical="center" wrapText="1" indent="1"/>
      <protection/>
    </xf>
    <xf numFmtId="0" fontId="45" fillId="0" borderId="66" xfId="107" applyFont="1" applyBorder="1" applyAlignment="1">
      <alignment horizontal="left" vertical="center" wrapText="1" indent="1"/>
      <protection/>
    </xf>
    <xf numFmtId="0" fontId="53" fillId="0" borderId="61" xfId="107" applyFont="1" applyBorder="1" applyAlignment="1">
      <alignment horizontal="left" vertical="center" wrapText="1" indent="1"/>
      <protection/>
    </xf>
    <xf numFmtId="0" fontId="53" fillId="0" borderId="38" xfId="107" applyFont="1" applyBorder="1" applyAlignment="1">
      <alignment horizontal="left" vertical="center" wrapText="1" indent="1"/>
      <protection/>
    </xf>
    <xf numFmtId="0" fontId="49" fillId="0" borderId="61" xfId="0" applyFont="1" applyBorder="1" applyAlignment="1">
      <alignment horizontal="left" vertical="center" wrapText="1" indent="1"/>
    </xf>
    <xf numFmtId="0" fontId="28" fillId="0" borderId="38" xfId="0" applyFont="1" applyBorder="1" applyAlignment="1">
      <alignment vertical="center" wrapText="1"/>
    </xf>
    <xf numFmtId="167" fontId="45" fillId="0" borderId="27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22" xfId="0" applyNumberFormat="1" applyFont="1" applyBorder="1" applyAlignment="1" applyProtection="1">
      <alignment horizontal="right" vertical="center" wrapText="1" indent="1"/>
      <protection locked="0"/>
    </xf>
    <xf numFmtId="3" fontId="28" fillId="0" borderId="41" xfId="0" applyNumberFormat="1" applyFont="1" applyBorder="1" applyAlignment="1" applyProtection="1">
      <alignment horizontal="right" vertical="center" wrapText="1" indent="1"/>
      <protection locked="0"/>
    </xf>
    <xf numFmtId="10" fontId="45" fillId="0" borderId="43" xfId="0" applyNumberFormat="1" applyFont="1" applyBorder="1" applyAlignment="1">
      <alignment horizontal="right" vertical="center" wrapText="1" indent="1"/>
    </xf>
    <xf numFmtId="0" fontId="49" fillId="0" borderId="47" xfId="0" applyFont="1" applyBorder="1" applyAlignment="1">
      <alignment horizontal="center" vertical="center" wrapText="1"/>
    </xf>
    <xf numFmtId="10" fontId="53" fillId="0" borderId="50" xfId="0" applyNumberFormat="1" applyFont="1" applyBorder="1" applyAlignment="1">
      <alignment horizontal="right" vertical="center" wrapText="1" indent="1"/>
    </xf>
    <xf numFmtId="10" fontId="45" fillId="0" borderId="70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70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70" xfId="0" applyNumberFormat="1" applyFont="1" applyBorder="1" applyAlignment="1" applyProtection="1">
      <alignment horizontal="right" vertical="center" wrapText="1" indent="1"/>
      <protection locked="0"/>
    </xf>
    <xf numFmtId="10" fontId="53" fillId="0" borderId="50" xfId="0" applyNumberFormat="1" applyFont="1" applyBorder="1" applyAlignment="1">
      <alignment horizontal="right" vertical="center" wrapText="1" indent="1"/>
    </xf>
    <xf numFmtId="0" fontId="0" fillId="0" borderId="42" xfId="0" applyBorder="1" applyAlignment="1">
      <alignment horizontal="right" vertical="center" wrapText="1" indent="1"/>
    </xf>
    <xf numFmtId="0" fontId="0" fillId="0" borderId="51" xfId="0" applyBorder="1" applyAlignment="1">
      <alignment horizontal="right" vertical="center" wrapText="1" indent="1"/>
    </xf>
    <xf numFmtId="0" fontId="0" fillId="0" borderId="60" xfId="0" applyBorder="1" applyAlignment="1">
      <alignment vertical="center" wrapText="1"/>
    </xf>
    <xf numFmtId="3" fontId="28" fillId="0" borderId="40" xfId="0" applyNumberFormat="1" applyFont="1" applyBorder="1" applyAlignment="1" applyProtection="1">
      <alignment horizontal="right" vertical="center" wrapText="1" indent="1"/>
      <protection locked="0"/>
    </xf>
    <xf numFmtId="0" fontId="49" fillId="0" borderId="71" xfId="0" applyFont="1" applyBorder="1" applyAlignment="1">
      <alignment horizontal="center" vertical="center" wrapText="1"/>
    </xf>
    <xf numFmtId="0" fontId="53" fillId="0" borderId="61" xfId="0" applyFont="1" applyBorder="1" applyAlignment="1">
      <alignment horizontal="left" vertical="center" wrapText="1" indent="1"/>
    </xf>
    <xf numFmtId="0" fontId="45" fillId="0" borderId="72" xfId="107" applyFont="1" applyBorder="1" applyAlignment="1">
      <alignment horizontal="left" vertical="center" wrapText="1" indent="1"/>
      <protection/>
    </xf>
    <xf numFmtId="0" fontId="45" fillId="0" borderId="73" xfId="107" applyFont="1" applyBorder="1" applyAlignment="1">
      <alignment horizontal="left" vertical="center" wrapText="1" indent="1"/>
      <protection/>
    </xf>
    <xf numFmtId="0" fontId="53" fillId="0" borderId="71" xfId="107" applyFont="1" applyBorder="1" applyAlignment="1">
      <alignment horizontal="left" vertical="center" wrapText="1" indent="1"/>
      <protection/>
    </xf>
    <xf numFmtId="0" fontId="45" fillId="0" borderId="74" xfId="107" applyFont="1" applyBorder="1" applyAlignment="1">
      <alignment horizontal="left" vertical="center" wrapText="1" indent="1"/>
      <protection/>
    </xf>
    <xf numFmtId="0" fontId="50" fillId="0" borderId="38" xfId="0" applyFont="1" applyBorder="1" applyAlignment="1">
      <alignment horizontal="left" wrapText="1" indent="1"/>
    </xf>
    <xf numFmtId="0" fontId="53" fillId="0" borderId="50" xfId="0" applyFont="1" applyBorder="1" applyAlignment="1">
      <alignment horizontal="center" vertical="center" wrapText="1"/>
    </xf>
    <xf numFmtId="167" fontId="49" fillId="0" borderId="75" xfId="0" applyNumberFormat="1" applyFont="1" applyBorder="1" applyAlignment="1">
      <alignment horizontal="center" vertical="center" wrapText="1"/>
    </xf>
    <xf numFmtId="10" fontId="45" fillId="0" borderId="33" xfId="0" applyNumberFormat="1" applyFont="1" applyBorder="1" applyAlignment="1">
      <alignment horizontal="right" vertical="center" wrapText="1" indent="1"/>
    </xf>
    <xf numFmtId="167" fontId="45" fillId="0" borderId="35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33" xfId="0" applyNumberFormat="1" applyFont="1" applyBorder="1" applyAlignment="1" applyProtection="1">
      <alignment horizontal="right" vertical="center" wrapText="1" indent="1"/>
      <protection locked="0"/>
    </xf>
    <xf numFmtId="167" fontId="49" fillId="0" borderId="51" xfId="0" applyNumberFormat="1" applyFont="1" applyBorder="1" applyAlignment="1">
      <alignment horizontal="center" vertical="center" wrapText="1"/>
    </xf>
    <xf numFmtId="10" fontId="45" fillId="0" borderId="25" xfId="0" applyNumberFormat="1" applyFont="1" applyBorder="1" applyAlignment="1">
      <alignment horizontal="right" vertical="center" wrapText="1" indent="1"/>
    </xf>
    <xf numFmtId="167" fontId="49" fillId="0" borderId="47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right" vertical="center" wrapText="1" indent="1"/>
    </xf>
    <xf numFmtId="0" fontId="0" fillId="0" borderId="51" xfId="0" applyFont="1" applyBorder="1" applyAlignment="1">
      <alignment horizontal="right" vertical="center" wrapText="1" indent="1"/>
    </xf>
    <xf numFmtId="0" fontId="0" fillId="0" borderId="60" xfId="0" applyFont="1" applyBorder="1" applyAlignment="1">
      <alignment horizontal="right" vertical="center" wrapText="1" indent="1"/>
    </xf>
    <xf numFmtId="0" fontId="28" fillId="0" borderId="50" xfId="0" applyFont="1" applyBorder="1" applyAlignment="1">
      <alignment vertical="center"/>
    </xf>
    <xf numFmtId="10" fontId="53" fillId="0" borderId="46" xfId="0" applyNumberFormat="1" applyFont="1" applyBorder="1" applyAlignment="1">
      <alignment horizontal="right" vertical="center" wrapText="1" indent="1"/>
    </xf>
    <xf numFmtId="167" fontId="53" fillId="0" borderId="76" xfId="0" applyNumberFormat="1" applyFont="1" applyBorder="1" applyAlignment="1">
      <alignment horizontal="right" vertical="center" wrapText="1" indent="1"/>
    </xf>
    <xf numFmtId="167" fontId="45" fillId="0" borderId="77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77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76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76" xfId="0" applyNumberFormat="1" applyFont="1" applyBorder="1" applyAlignment="1">
      <alignment horizontal="right" vertical="center" wrapText="1" indent="1"/>
    </xf>
    <xf numFmtId="0" fontId="0" fillId="0" borderId="78" xfId="0" applyFont="1" applyBorder="1" applyAlignment="1">
      <alignment horizontal="right" vertical="center" wrapText="1" indent="1"/>
    </xf>
    <xf numFmtId="3" fontId="28" fillId="0" borderId="76" xfId="0" applyNumberFormat="1" applyFont="1" applyBorder="1" applyAlignment="1" applyProtection="1">
      <alignment horizontal="right" vertical="center" wrapText="1" indent="1"/>
      <protection locked="0"/>
    </xf>
    <xf numFmtId="49" fontId="53" fillId="0" borderId="28" xfId="0" applyNumberFormat="1" applyFont="1" applyBorder="1" applyAlignment="1">
      <alignment horizontal="right" vertical="center" wrapText="1" indent="1"/>
    </xf>
    <xf numFmtId="49" fontId="45" fillId="0" borderId="24" xfId="0" applyNumberFormat="1" applyFont="1" applyBorder="1" applyAlignment="1" applyProtection="1">
      <alignment horizontal="right" vertical="center" wrapText="1" indent="1"/>
      <protection locked="0"/>
    </xf>
    <xf numFmtId="49" fontId="45" fillId="0" borderId="20" xfId="0" applyNumberFormat="1" applyFont="1" applyBorder="1" applyAlignment="1" applyProtection="1">
      <alignment horizontal="right" vertical="center" wrapText="1" indent="1"/>
      <protection locked="0"/>
    </xf>
    <xf numFmtId="49" fontId="45" fillId="0" borderId="45" xfId="0" applyNumberFormat="1" applyFont="1" applyBorder="1" applyAlignment="1" applyProtection="1">
      <alignment horizontal="right" vertical="center" wrapText="1" indent="1"/>
      <protection locked="0"/>
    </xf>
    <xf numFmtId="49" fontId="53" fillId="0" borderId="28" xfId="0" applyNumberFormat="1" applyFont="1" applyBorder="1" applyAlignment="1" applyProtection="1">
      <alignment horizontal="right" vertical="center" wrapText="1" indent="1"/>
      <protection locked="0"/>
    </xf>
    <xf numFmtId="49" fontId="53" fillId="0" borderId="39" xfId="0" applyNumberFormat="1" applyFont="1" applyBorder="1" applyAlignment="1">
      <alignment horizontal="right" vertical="center" wrapText="1" indent="1"/>
    </xf>
    <xf numFmtId="49" fontId="45" fillId="0" borderId="26" xfId="0" applyNumberFormat="1" applyFont="1" applyBorder="1" applyAlignment="1" applyProtection="1">
      <alignment horizontal="right" vertical="center" wrapText="1" indent="1"/>
      <protection locked="0"/>
    </xf>
    <xf numFmtId="49" fontId="53" fillId="0" borderId="28" xfId="0" applyNumberFormat="1" applyFont="1" applyBorder="1" applyAlignment="1">
      <alignment horizontal="right" vertical="center" wrapText="1" indent="1"/>
    </xf>
    <xf numFmtId="49" fontId="53" fillId="0" borderId="41" xfId="0" applyNumberFormat="1" applyFont="1" applyBorder="1" applyAlignment="1">
      <alignment horizontal="right" vertical="center" wrapText="1" indent="1"/>
    </xf>
    <xf numFmtId="49" fontId="45" fillId="0" borderId="57" xfId="0" applyNumberFormat="1" applyFont="1" applyBorder="1" applyAlignment="1" applyProtection="1">
      <alignment horizontal="right" vertical="center" wrapText="1" indent="1"/>
      <protection locked="0"/>
    </xf>
    <xf numFmtId="49" fontId="45" fillId="0" borderId="25" xfId="0" applyNumberFormat="1" applyFont="1" applyBorder="1" applyAlignment="1" applyProtection="1">
      <alignment horizontal="right" vertical="center" wrapText="1" indent="1"/>
      <protection locked="0"/>
    </xf>
    <xf numFmtId="49" fontId="53" fillId="0" borderId="41" xfId="0" applyNumberFormat="1" applyFont="1" applyBorder="1" applyAlignment="1" applyProtection="1">
      <alignment horizontal="right" vertical="center" wrapText="1" indent="1"/>
      <protection locked="0"/>
    </xf>
    <xf numFmtId="49" fontId="53" fillId="0" borderId="41" xfId="0" applyNumberFormat="1" applyFont="1" applyBorder="1" applyAlignment="1">
      <alignment horizontal="right" vertical="center" wrapText="1" indent="1"/>
    </xf>
    <xf numFmtId="49" fontId="0" fillId="0" borderId="60" xfId="0" applyNumberFormat="1" applyFont="1" applyBorder="1" applyAlignment="1">
      <alignment horizontal="right" vertical="center" wrapText="1" indent="1"/>
    </xf>
    <xf numFmtId="49" fontId="28" fillId="0" borderId="41" xfId="0" applyNumberFormat="1" applyFont="1" applyBorder="1" applyAlignment="1" applyProtection="1">
      <alignment horizontal="right" vertical="center" wrapText="1" indent="1"/>
      <protection locked="0"/>
    </xf>
    <xf numFmtId="0" fontId="11" fillId="0" borderId="54" xfId="104" applyBorder="1">
      <alignment/>
      <protection/>
    </xf>
    <xf numFmtId="0" fontId="12" fillId="1" borderId="21" xfId="104" applyFont="1" applyFill="1" applyBorder="1" applyAlignment="1">
      <alignment horizontal="center" vertical="center" wrapText="1"/>
      <protection/>
    </xf>
    <xf numFmtId="0" fontId="7" fillId="0" borderId="33" xfId="0" applyFont="1" applyBorder="1" applyAlignment="1">
      <alignment horizontal="left" wrapText="1"/>
    </xf>
    <xf numFmtId="3" fontId="7" fillId="0" borderId="23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3" fontId="2" fillId="0" borderId="40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10" fontId="2" fillId="0" borderId="28" xfId="0" applyNumberFormat="1" applyFont="1" applyBorder="1" applyAlignment="1">
      <alignment vertical="center"/>
    </xf>
    <xf numFmtId="49" fontId="3" fillId="0" borderId="68" xfId="0" applyNumberFormat="1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Font="1" applyBorder="1" applyAlignment="1">
      <alignment/>
    </xf>
    <xf numFmtId="10" fontId="2" fillId="0" borderId="41" xfId="0" applyNumberFormat="1" applyFont="1" applyBorder="1" applyAlignment="1">
      <alignment vertical="center"/>
    </xf>
    <xf numFmtId="49" fontId="3" fillId="0" borderId="68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vertical="center"/>
    </xf>
    <xf numFmtId="3" fontId="7" fillId="0" borderId="68" xfId="0" applyNumberFormat="1" applyFont="1" applyBorder="1" applyAlignment="1">
      <alignment vertical="center"/>
    </xf>
    <xf numFmtId="0" fontId="1" fillId="0" borderId="0" xfId="102">
      <alignment/>
      <protection/>
    </xf>
    <xf numFmtId="0" fontId="1" fillId="0" borderId="0" xfId="102" applyAlignment="1">
      <alignment wrapText="1"/>
      <protection/>
    </xf>
    <xf numFmtId="0" fontId="69" fillId="0" borderId="0" xfId="102" applyFont="1" applyAlignment="1">
      <alignment horizontal="center" vertical="center"/>
      <protection/>
    </xf>
    <xf numFmtId="0" fontId="50" fillId="0" borderId="31" xfId="102" applyFont="1" applyBorder="1" applyAlignment="1">
      <alignment horizontal="center" vertical="center" wrapText="1"/>
      <protection/>
    </xf>
    <xf numFmtId="0" fontId="66" fillId="0" borderId="22" xfId="102" applyFont="1" applyBorder="1">
      <alignment/>
      <protection/>
    </xf>
    <xf numFmtId="0" fontId="58" fillId="0" borderId="0" xfId="102" applyFont="1" applyAlignment="1">
      <alignment vertical="center"/>
      <protection/>
    </xf>
    <xf numFmtId="0" fontId="1" fillId="0" borderId="22" xfId="102" applyBorder="1">
      <alignment/>
      <protection/>
    </xf>
    <xf numFmtId="0" fontId="66" fillId="0" borderId="32" xfId="102" applyFont="1" applyBorder="1">
      <alignment/>
      <protection/>
    </xf>
    <xf numFmtId="0" fontId="66" fillId="0" borderId="36" xfId="102" applyFont="1" applyBorder="1">
      <alignment/>
      <protection/>
    </xf>
    <xf numFmtId="0" fontId="66" fillId="0" borderId="31" xfId="102" applyFont="1" applyBorder="1" applyAlignment="1">
      <alignment vertical="center"/>
      <protection/>
    </xf>
    <xf numFmtId="0" fontId="1" fillId="0" borderId="0" xfId="102" applyAlignment="1">
      <alignment vertical="center"/>
      <protection/>
    </xf>
    <xf numFmtId="0" fontId="66" fillId="0" borderId="34" xfId="102" applyFont="1" applyBorder="1">
      <alignment/>
      <protection/>
    </xf>
    <xf numFmtId="0" fontId="66" fillId="0" borderId="54" xfId="102" applyFont="1" applyBorder="1">
      <alignment/>
      <protection/>
    </xf>
    <xf numFmtId="0" fontId="66" fillId="0" borderId="0" xfId="102" applyFont="1">
      <alignment/>
      <protection/>
    </xf>
    <xf numFmtId="0" fontId="66" fillId="0" borderId="0" xfId="102" applyFont="1" applyAlignment="1">
      <alignment vertical="center"/>
      <protection/>
    </xf>
    <xf numFmtId="0" fontId="66" fillId="0" borderId="31" xfId="102" applyFont="1" applyBorder="1">
      <alignment/>
      <protection/>
    </xf>
    <xf numFmtId="0" fontId="70" fillId="0" borderId="63" xfId="102" applyFont="1" applyBorder="1" applyAlignment="1">
      <alignment vertical="center"/>
      <protection/>
    </xf>
    <xf numFmtId="0" fontId="50" fillId="0" borderId="28" xfId="102" applyFont="1" applyBorder="1" applyAlignment="1">
      <alignment horizontal="center" vertical="center" wrapText="1"/>
      <protection/>
    </xf>
    <xf numFmtId="3" fontId="66" fillId="0" borderId="21" xfId="102" applyNumberFormat="1" applyFont="1" applyBorder="1" applyAlignment="1">
      <alignment horizontal="right"/>
      <protection/>
    </xf>
    <xf numFmtId="3" fontId="1" fillId="0" borderId="24" xfId="102" applyNumberFormat="1" applyBorder="1" applyAlignment="1">
      <alignment horizontal="right"/>
      <protection/>
    </xf>
    <xf numFmtId="3" fontId="66" fillId="0" borderId="24" xfId="102" applyNumberFormat="1" applyFont="1" applyBorder="1" applyAlignment="1">
      <alignment horizontal="right"/>
      <protection/>
    </xf>
    <xf numFmtId="3" fontId="66" fillId="0" borderId="28" xfId="102" applyNumberFormat="1" applyFont="1" applyBorder="1" applyAlignment="1">
      <alignment horizontal="right" vertical="center"/>
      <protection/>
    </xf>
    <xf numFmtId="3" fontId="66" fillId="0" borderId="28" xfId="102" applyNumberFormat="1" applyFont="1" applyBorder="1" applyAlignment="1">
      <alignment vertical="center"/>
      <protection/>
    </xf>
    <xf numFmtId="3" fontId="66" fillId="0" borderId="21" xfId="102" applyNumberFormat="1" applyFont="1" applyBorder="1">
      <alignment/>
      <protection/>
    </xf>
    <xf numFmtId="3" fontId="1" fillId="0" borderId="24" xfId="102" applyNumberFormat="1" applyBorder="1">
      <alignment/>
      <protection/>
    </xf>
    <xf numFmtId="3" fontId="66" fillId="0" borderId="28" xfId="102" applyNumberFormat="1" applyFont="1" applyBorder="1">
      <alignment/>
      <protection/>
    </xf>
    <xf numFmtId="3" fontId="66" fillId="0" borderId="24" xfId="102" applyNumberFormat="1" applyFont="1" applyBorder="1">
      <alignment/>
      <protection/>
    </xf>
    <xf numFmtId="3" fontId="66" fillId="0" borderId="29" xfId="102" applyNumberFormat="1" applyFont="1" applyBorder="1">
      <alignment/>
      <protection/>
    </xf>
    <xf numFmtId="3" fontId="70" fillId="0" borderId="26" xfId="102" applyNumberFormat="1" applyFont="1" applyBorder="1" applyAlignment="1">
      <alignment vertical="center"/>
      <protection/>
    </xf>
    <xf numFmtId="167" fontId="53" fillId="0" borderId="55" xfId="0" applyNumberFormat="1" applyFont="1" applyBorder="1" applyAlignment="1">
      <alignment horizontal="right" vertical="center" wrapText="1" indent="1"/>
    </xf>
    <xf numFmtId="0" fontId="53" fillId="0" borderId="42" xfId="0" applyFont="1" applyBorder="1" applyAlignment="1">
      <alignment horizontal="center" vertical="center" wrapText="1"/>
    </xf>
    <xf numFmtId="49" fontId="45" fillId="0" borderId="51" xfId="107" applyNumberFormat="1" applyFont="1" applyBorder="1" applyAlignment="1">
      <alignment horizontal="left" vertical="center" wrapText="1" indent="1"/>
      <protection/>
    </xf>
    <xf numFmtId="167" fontId="45" fillId="0" borderId="42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51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42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51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60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60" xfId="0" applyNumberFormat="1" applyFont="1" applyBorder="1" applyAlignment="1" applyProtection="1">
      <alignment horizontal="right" vertical="center" wrapText="1" indent="1"/>
      <protection locked="0"/>
    </xf>
    <xf numFmtId="49" fontId="0" fillId="0" borderId="79" xfId="0" applyNumberFormat="1" applyFont="1" applyBorder="1" applyAlignment="1">
      <alignment horizontal="left"/>
    </xf>
    <xf numFmtId="49" fontId="7" fillId="0" borderId="67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13" fillId="0" borderId="53" xfId="104" applyFont="1" applyBorder="1" applyAlignment="1">
      <alignment vertical="center" wrapText="1"/>
      <protection/>
    </xf>
    <xf numFmtId="49" fontId="7" fillId="0" borderId="63" xfId="0" applyNumberFormat="1" applyFont="1" applyBorder="1" applyAlignment="1">
      <alignment horizontal="left" vertical="center"/>
    </xf>
    <xf numFmtId="49" fontId="7" fillId="0" borderId="67" xfId="0" applyNumberFormat="1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vertical="center"/>
    </xf>
    <xf numFmtId="0" fontId="1" fillId="0" borderId="32" xfId="102" applyBorder="1">
      <alignment/>
      <protection/>
    </xf>
    <xf numFmtId="0" fontId="66" fillId="0" borderId="63" xfId="102" applyFont="1" applyBorder="1">
      <alignment/>
      <protection/>
    </xf>
    <xf numFmtId="3" fontId="66" fillId="0" borderId="26" xfId="102" applyNumberFormat="1" applyFont="1" applyBorder="1">
      <alignment/>
      <protection/>
    </xf>
    <xf numFmtId="3" fontId="66" fillId="0" borderId="26" xfId="102" applyNumberFormat="1" applyFont="1" applyBorder="1" applyAlignment="1">
      <alignment horizontal="right"/>
      <protection/>
    </xf>
    <xf numFmtId="0" fontId="15" fillId="0" borderId="22" xfId="104" applyFont="1" applyBorder="1" applyAlignment="1">
      <alignment horizontal="right" wrapText="1"/>
      <protection/>
    </xf>
    <xf numFmtId="0" fontId="71" fillId="0" borderId="0" xfId="104" applyFont="1" applyAlignment="1">
      <alignment horizontal="right"/>
      <protection/>
    </xf>
    <xf numFmtId="0" fontId="72" fillId="0" borderId="0" xfId="104" applyFont="1" applyAlignment="1">
      <alignment horizontal="center"/>
      <protection/>
    </xf>
    <xf numFmtId="0" fontId="73" fillId="0" borderId="0" xfId="104" applyFont="1" applyAlignment="1">
      <alignment horizontal="center"/>
      <protection/>
    </xf>
    <xf numFmtId="0" fontId="19" fillId="0" borderId="0" xfId="104" applyFont="1" applyAlignment="1">
      <alignment horizontal="center"/>
      <protection/>
    </xf>
    <xf numFmtId="0" fontId="19" fillId="0" borderId="0" xfId="106">
      <alignment/>
      <protection/>
    </xf>
    <xf numFmtId="0" fontId="71" fillId="0" borderId="0" xfId="104" applyFont="1">
      <alignment/>
      <protection/>
    </xf>
    <xf numFmtId="0" fontId="13" fillId="0" borderId="40" xfId="104" applyFont="1" applyBorder="1" applyAlignment="1">
      <alignment horizontal="center" vertical="center" wrapText="1"/>
      <protection/>
    </xf>
    <xf numFmtId="0" fontId="11" fillId="0" borderId="54" xfId="104" applyBorder="1" applyAlignment="1">
      <alignment vertical="center" wrapText="1"/>
      <protection/>
    </xf>
    <xf numFmtId="0" fontId="11" fillId="0" borderId="0" xfId="104" applyAlignment="1">
      <alignment vertical="center" wrapText="1"/>
      <protection/>
    </xf>
    <xf numFmtId="166" fontId="74" fillId="0" borderId="68" xfId="106" applyNumberFormat="1" applyFont="1" applyBorder="1" applyAlignment="1">
      <alignment horizontal="center" vertical="center" wrapText="1"/>
      <protection/>
    </xf>
    <xf numFmtId="3" fontId="74" fillId="0" borderId="47" xfId="106" applyNumberFormat="1" applyFont="1" applyBorder="1" applyAlignment="1">
      <alignment horizontal="center" vertical="center" wrapText="1"/>
      <protection/>
    </xf>
    <xf numFmtId="3" fontId="74" fillId="0" borderId="39" xfId="106" applyNumberFormat="1" applyFont="1" applyBorder="1" applyAlignment="1">
      <alignment horizontal="center" vertical="center" wrapText="1"/>
      <protection/>
    </xf>
    <xf numFmtId="3" fontId="74" fillId="0" borderId="55" xfId="106" applyNumberFormat="1" applyFont="1" applyBorder="1" applyAlignment="1">
      <alignment horizontal="center" vertical="center" wrapText="1"/>
      <protection/>
    </xf>
    <xf numFmtId="3" fontId="76" fillId="0" borderId="19" xfId="106" applyNumberFormat="1" applyFont="1" applyBorder="1" applyAlignment="1">
      <alignment vertical="top"/>
      <protection/>
    </xf>
    <xf numFmtId="3" fontId="76" fillId="0" borderId="20" xfId="106" applyNumberFormat="1" applyFont="1" applyBorder="1" applyAlignment="1">
      <alignment vertical="top"/>
      <protection/>
    </xf>
    <xf numFmtId="10" fontId="76" fillId="0" borderId="43" xfId="106" applyNumberFormat="1" applyFont="1" applyBorder="1" applyAlignment="1">
      <alignment vertical="top"/>
      <protection/>
    </xf>
    <xf numFmtId="3" fontId="76" fillId="0" borderId="43" xfId="106" applyNumberFormat="1" applyFont="1" applyBorder="1" applyAlignment="1">
      <alignment vertical="top"/>
      <protection/>
    </xf>
    <xf numFmtId="0" fontId="75" fillId="0" borderId="33" xfId="106" applyFont="1" applyBorder="1" applyAlignment="1">
      <alignment horizontal="left"/>
      <protection/>
    </xf>
    <xf numFmtId="3" fontId="76" fillId="0" borderId="22" xfId="106" applyNumberFormat="1" applyFont="1" applyBorder="1" applyAlignment="1">
      <alignment vertical="top"/>
      <protection/>
    </xf>
    <xf numFmtId="3" fontId="76" fillId="0" borderId="24" xfId="106" applyNumberFormat="1" applyFont="1" applyBorder="1" applyAlignment="1">
      <alignment vertical="top"/>
      <protection/>
    </xf>
    <xf numFmtId="10" fontId="76" fillId="0" borderId="25" xfId="106" applyNumberFormat="1" applyFont="1" applyBorder="1" applyAlignment="1">
      <alignment vertical="top"/>
      <protection/>
    </xf>
    <xf numFmtId="3" fontId="76" fillId="0" borderId="25" xfId="106" applyNumberFormat="1" applyFont="1" applyBorder="1" applyAlignment="1">
      <alignment vertical="top"/>
      <protection/>
    </xf>
    <xf numFmtId="3" fontId="76" fillId="0" borderId="22" xfId="106" applyNumberFormat="1" applyFont="1" applyBorder="1">
      <alignment/>
      <protection/>
    </xf>
    <xf numFmtId="3" fontId="76" fillId="0" borderId="24" xfId="106" applyNumberFormat="1" applyFont="1" applyBorder="1">
      <alignment/>
      <protection/>
    </xf>
    <xf numFmtId="3" fontId="76" fillId="0" borderId="25" xfId="106" applyNumberFormat="1" applyFont="1" applyBorder="1">
      <alignment/>
      <protection/>
    </xf>
    <xf numFmtId="0" fontId="11" fillId="0" borderId="23" xfId="104" applyBorder="1" applyAlignment="1">
      <alignment horizontal="center" vertical="center"/>
      <protection/>
    </xf>
    <xf numFmtId="3" fontId="76" fillId="0" borderId="23" xfId="106" applyNumberFormat="1" applyFont="1" applyBorder="1">
      <alignment/>
      <protection/>
    </xf>
    <xf numFmtId="3" fontId="76" fillId="0" borderId="26" xfId="106" applyNumberFormat="1" applyFont="1" applyBorder="1">
      <alignment/>
      <protection/>
    </xf>
    <xf numFmtId="3" fontId="76" fillId="0" borderId="48" xfId="106" applyNumberFormat="1" applyFont="1" applyBorder="1">
      <alignment/>
      <protection/>
    </xf>
    <xf numFmtId="0" fontId="11" fillId="0" borderId="40" xfId="104" applyBorder="1" applyAlignment="1">
      <alignment horizontal="center" vertical="center"/>
      <protection/>
    </xf>
    <xf numFmtId="3" fontId="77" fillId="0" borderId="40" xfId="106" applyNumberFormat="1" applyFont="1" applyBorder="1" applyAlignment="1">
      <alignment vertical="center"/>
      <protection/>
    </xf>
    <xf numFmtId="10" fontId="77" fillId="0" borderId="41" xfId="106" applyNumberFormat="1" applyFont="1" applyBorder="1" applyAlignment="1">
      <alignment vertical="center"/>
      <protection/>
    </xf>
    <xf numFmtId="3" fontId="17" fillId="0" borderId="0" xfId="104" applyNumberFormat="1" applyFont="1" applyAlignment="1">
      <alignment horizontal="right" vertical="center"/>
      <protection/>
    </xf>
    <xf numFmtId="0" fontId="79" fillId="0" borderId="0" xfId="104" applyFont="1" applyAlignment="1">
      <alignment vertical="center"/>
      <protection/>
    </xf>
    <xf numFmtId="0" fontId="80" fillId="0" borderId="54" xfId="104" applyFont="1" applyBorder="1" applyAlignment="1">
      <alignment vertical="center"/>
      <protection/>
    </xf>
    <xf numFmtId="0" fontId="23" fillId="50" borderId="51" xfId="104" applyFont="1" applyFill="1" applyBorder="1" applyAlignment="1">
      <alignment horizontal="center" vertical="center" wrapText="1"/>
      <protection/>
    </xf>
    <xf numFmtId="0" fontId="11" fillId="0" borderId="54" xfId="104" applyBorder="1" applyAlignment="1">
      <alignment vertical="center"/>
      <protection/>
    </xf>
    <xf numFmtId="0" fontId="23" fillId="50" borderId="36" xfId="104" applyFont="1" applyFill="1" applyBorder="1" applyAlignment="1">
      <alignment horizontal="center" vertical="center" wrapText="1"/>
      <protection/>
    </xf>
    <xf numFmtId="3" fontId="23" fillId="50" borderId="80" xfId="104" applyNumberFormat="1" applyFont="1" applyFill="1" applyBorder="1" applyAlignment="1">
      <alignment horizontal="center" vertical="center" wrapText="1"/>
      <protection/>
    </xf>
    <xf numFmtId="3" fontId="23" fillId="50" borderId="81" xfId="104" applyNumberFormat="1" applyFont="1" applyFill="1" applyBorder="1" applyAlignment="1">
      <alignment horizontal="center" vertical="center" wrapText="1"/>
      <protection/>
    </xf>
    <xf numFmtId="3" fontId="23" fillId="50" borderId="82" xfId="104" applyNumberFormat="1" applyFont="1" applyFill="1" applyBorder="1" applyAlignment="1">
      <alignment horizontal="center" vertical="center" wrapText="1"/>
      <protection/>
    </xf>
    <xf numFmtId="0" fontId="75" fillId="0" borderId="32" xfId="0" applyFont="1" applyBorder="1" applyAlignment="1">
      <alignment vertical="center" wrapText="1"/>
    </xf>
    <xf numFmtId="0" fontId="75" fillId="0" borderId="24" xfId="0" applyFont="1" applyBorder="1" applyAlignment="1">
      <alignment horizontal="center" vertical="center" wrapText="1"/>
    </xf>
    <xf numFmtId="3" fontId="32" fillId="0" borderId="24" xfId="104" applyNumberFormat="1" applyFont="1" applyBorder="1" applyAlignment="1">
      <alignment horizontal="right" vertical="center" wrapText="1"/>
      <protection/>
    </xf>
    <xf numFmtId="3" fontId="32" fillId="0" borderId="21" xfId="104" applyNumberFormat="1" applyFont="1" applyBorder="1" applyAlignment="1">
      <alignment horizontal="right" vertical="center" wrapText="1"/>
      <protection/>
    </xf>
    <xf numFmtId="10" fontId="32" fillId="0" borderId="21" xfId="104" applyNumberFormat="1" applyFont="1" applyBorder="1" applyAlignment="1">
      <alignment horizontal="right" vertical="center" wrapText="1"/>
      <protection/>
    </xf>
    <xf numFmtId="10" fontId="32" fillId="0" borderId="24" xfId="104" applyNumberFormat="1" applyFont="1" applyBorder="1" applyAlignment="1">
      <alignment horizontal="right" vertical="center" wrapText="1"/>
      <protection/>
    </xf>
    <xf numFmtId="10" fontId="32" fillId="0" borderId="25" xfId="104" applyNumberFormat="1" applyFont="1" applyBorder="1" applyAlignment="1">
      <alignment horizontal="right" vertical="center" wrapText="1"/>
      <protection/>
    </xf>
    <xf numFmtId="3" fontId="32" fillId="0" borderId="24" xfId="104" applyNumberFormat="1" applyFont="1" applyBorder="1" applyAlignment="1">
      <alignment vertical="center"/>
      <protection/>
    </xf>
    <xf numFmtId="3" fontId="23" fillId="50" borderId="83" xfId="104" applyNumberFormat="1" applyFont="1" applyFill="1" applyBorder="1" applyAlignment="1">
      <alignment horizontal="center" vertical="center" wrapText="1"/>
      <protection/>
    </xf>
    <xf numFmtId="3" fontId="23" fillId="50" borderId="84" xfId="104" applyNumberFormat="1" applyFont="1" applyFill="1" applyBorder="1" applyAlignment="1">
      <alignment horizontal="center" vertical="center" wrapText="1"/>
      <protection/>
    </xf>
    <xf numFmtId="3" fontId="38" fillId="50" borderId="84" xfId="104" applyNumberFormat="1" applyFont="1" applyFill="1" applyBorder="1" applyAlignment="1">
      <alignment horizontal="right" vertical="center" wrapText="1"/>
      <protection/>
    </xf>
    <xf numFmtId="10" fontId="38" fillId="50" borderId="84" xfId="104" applyNumberFormat="1" applyFont="1" applyFill="1" applyBorder="1" applyAlignment="1">
      <alignment horizontal="right" vertical="center" wrapText="1"/>
      <protection/>
    </xf>
    <xf numFmtId="3" fontId="23" fillId="0" borderId="0" xfId="104" applyNumberFormat="1" applyFont="1" applyAlignment="1">
      <alignment horizontal="center" vertical="center" wrapText="1"/>
      <protection/>
    </xf>
    <xf numFmtId="3" fontId="38" fillId="0" borderId="0" xfId="104" applyNumberFormat="1" applyFont="1" applyAlignment="1">
      <alignment horizontal="right" vertical="center" wrapText="1"/>
      <protection/>
    </xf>
    <xf numFmtId="0" fontId="80" fillId="0" borderId="0" xfId="104" applyFont="1" applyAlignment="1">
      <alignment vertical="center"/>
      <protection/>
    </xf>
    <xf numFmtId="0" fontId="23" fillId="50" borderId="85" xfId="104" applyFont="1" applyFill="1" applyBorder="1" applyAlignment="1">
      <alignment horizontal="center" vertical="center" wrapText="1"/>
      <protection/>
    </xf>
    <xf numFmtId="0" fontId="23" fillId="50" borderId="81" xfId="104" applyFont="1" applyFill="1" applyBorder="1" applyAlignment="1">
      <alignment horizontal="center" vertical="center" wrapText="1"/>
      <protection/>
    </xf>
    <xf numFmtId="0" fontId="75" fillId="0" borderId="34" xfId="0" applyFont="1" applyBorder="1" applyAlignment="1">
      <alignment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86" xfId="0" applyFont="1" applyBorder="1" applyAlignment="1">
      <alignment vertical="center" wrapText="1"/>
    </xf>
    <xf numFmtId="0" fontId="75" fillId="0" borderId="29" xfId="0" applyFont="1" applyBorder="1" applyAlignment="1">
      <alignment horizontal="center" vertical="center" wrapText="1"/>
    </xf>
    <xf numFmtId="3" fontId="32" fillId="0" borderId="29" xfId="104" applyNumberFormat="1" applyFont="1" applyBorder="1" applyAlignment="1">
      <alignment horizontal="right" vertical="center" wrapText="1"/>
      <protection/>
    </xf>
    <xf numFmtId="0" fontId="75" fillId="0" borderId="54" xfId="0" applyFont="1" applyBorder="1" applyAlignment="1">
      <alignment vertical="center" wrapText="1"/>
    </xf>
    <xf numFmtId="0" fontId="75" fillId="0" borderId="51" xfId="0" applyFont="1" applyBorder="1" applyAlignment="1">
      <alignment horizontal="center" vertical="center" wrapText="1"/>
    </xf>
    <xf numFmtId="3" fontId="32" fillId="0" borderId="51" xfId="104" applyNumberFormat="1" applyFont="1" applyBorder="1" applyAlignment="1">
      <alignment horizontal="right" vertical="center" wrapText="1"/>
      <protection/>
    </xf>
    <xf numFmtId="10" fontId="11" fillId="0" borderId="0" xfId="104" applyNumberFormat="1" applyAlignment="1">
      <alignment vertical="center"/>
      <protection/>
    </xf>
    <xf numFmtId="0" fontId="29" fillId="0" borderId="0" xfId="107" applyFont="1" applyAlignment="1">
      <alignment vertical="center"/>
      <protection/>
    </xf>
    <xf numFmtId="167" fontId="27" fillId="0" borderId="0" xfId="107" applyNumberFormat="1" applyFont="1" applyAlignment="1">
      <alignment horizontal="centerContinuous" vertical="center"/>
      <protection/>
    </xf>
    <xf numFmtId="0" fontId="42" fillId="0" borderId="0" xfId="0" applyFont="1" applyAlignment="1">
      <alignment vertical="center"/>
    </xf>
    <xf numFmtId="0" fontId="46" fillId="0" borderId="19" xfId="107" applyFont="1" applyBorder="1" applyAlignment="1">
      <alignment horizontal="center" vertical="center" wrapText="1"/>
      <protection/>
    </xf>
    <xf numFmtId="0" fontId="46" fillId="0" borderId="20" xfId="107" applyFont="1" applyBorder="1" applyAlignment="1">
      <alignment horizontal="center" vertical="center" wrapText="1"/>
      <protection/>
    </xf>
    <xf numFmtId="0" fontId="46" fillId="0" borderId="43" xfId="107" applyFont="1" applyBorder="1" applyAlignment="1">
      <alignment horizontal="center" vertical="center" wrapText="1"/>
      <protection/>
    </xf>
    <xf numFmtId="0" fontId="30" fillId="0" borderId="40" xfId="107" applyBorder="1" applyAlignment="1">
      <alignment horizontal="center" vertical="center"/>
      <protection/>
    </xf>
    <xf numFmtId="0" fontId="30" fillId="0" borderId="28" xfId="107" applyBorder="1" applyAlignment="1">
      <alignment horizontal="center" vertical="center"/>
      <protection/>
    </xf>
    <xf numFmtId="0" fontId="30" fillId="0" borderId="41" xfId="107" applyBorder="1" applyAlignment="1">
      <alignment horizontal="center" vertical="center"/>
      <protection/>
    </xf>
    <xf numFmtId="0" fontId="30" fillId="0" borderId="19" xfId="107" applyBorder="1" applyAlignment="1">
      <alignment horizontal="center" vertical="center"/>
      <protection/>
    </xf>
    <xf numFmtId="0" fontId="30" fillId="0" borderId="21" xfId="107" applyBorder="1" applyAlignment="1">
      <alignment vertical="center"/>
      <protection/>
    </xf>
    <xf numFmtId="168" fontId="30" fillId="0" borderId="43" xfId="74" applyNumberFormat="1" applyFont="1" applyBorder="1" applyAlignment="1" applyProtection="1">
      <alignment vertical="center"/>
      <protection locked="0"/>
    </xf>
    <xf numFmtId="0" fontId="30" fillId="0" borderId="27" xfId="107" applyBorder="1" applyAlignment="1">
      <alignment horizontal="center" vertical="center"/>
      <protection/>
    </xf>
    <xf numFmtId="168" fontId="30" fillId="0" borderId="57" xfId="74" applyNumberFormat="1" applyFont="1" applyBorder="1" applyAlignment="1" applyProtection="1">
      <alignment vertical="center"/>
      <protection locked="0"/>
    </xf>
    <xf numFmtId="0" fontId="30" fillId="0" borderId="22" xfId="107" applyBorder="1" applyAlignment="1">
      <alignment horizontal="center" vertical="center"/>
      <protection/>
    </xf>
    <xf numFmtId="0" fontId="76" fillId="0" borderId="24" xfId="0" applyFont="1" applyBorder="1" applyAlignment="1">
      <alignment horizontal="justify" vertical="center" wrapText="1"/>
    </xf>
    <xf numFmtId="168" fontId="30" fillId="0" borderId="25" xfId="74" applyNumberFormat="1" applyFont="1" applyBorder="1" applyAlignment="1" applyProtection="1">
      <alignment vertical="center"/>
      <protection locked="0"/>
    </xf>
    <xf numFmtId="0" fontId="76" fillId="0" borderId="24" xfId="0" applyFont="1" applyBorder="1" applyAlignment="1">
      <alignment vertical="center" wrapText="1"/>
    </xf>
    <xf numFmtId="168" fontId="30" fillId="0" borderId="59" xfId="74" applyNumberFormat="1" applyFont="1" applyBorder="1" applyAlignment="1" applyProtection="1">
      <alignment vertical="center"/>
      <protection locked="0"/>
    </xf>
    <xf numFmtId="168" fontId="46" fillId="0" borderId="41" xfId="74" applyNumberFormat="1" applyFont="1" applyBorder="1" applyAlignment="1">
      <alignment vertical="center"/>
    </xf>
    <xf numFmtId="0" fontId="45" fillId="0" borderId="0" xfId="107" applyFont="1" applyAlignment="1">
      <alignment horizontal="justify" vertical="center" wrapText="1"/>
      <protection/>
    </xf>
    <xf numFmtId="167" fontId="9" fillId="0" borderId="0" xfId="0" applyNumberFormat="1" applyFont="1" applyAlignment="1">
      <alignment horizontal="left" vertical="center" wrapText="1"/>
    </xf>
    <xf numFmtId="10" fontId="3" fillId="0" borderId="28" xfId="0" applyNumberFormat="1" applyFont="1" applyBorder="1" applyAlignment="1">
      <alignment vertical="center"/>
    </xf>
    <xf numFmtId="10" fontId="7" fillId="0" borderId="21" xfId="0" applyNumberFormat="1" applyFont="1" applyBorder="1" applyAlignment="1">
      <alignment vertical="center"/>
    </xf>
    <xf numFmtId="10" fontId="39" fillId="0" borderId="28" xfId="0" applyNumberFormat="1" applyFont="1" applyBorder="1" applyAlignment="1">
      <alignment vertical="center"/>
    </xf>
    <xf numFmtId="10" fontId="7" fillId="0" borderId="29" xfId="0" applyNumberFormat="1" applyFont="1" applyBorder="1" applyAlignment="1">
      <alignment vertical="center"/>
    </xf>
    <xf numFmtId="10" fontId="7" fillId="0" borderId="25" xfId="0" applyNumberFormat="1" applyFont="1" applyBorder="1" applyAlignment="1">
      <alignment horizontal="right" vertical="center"/>
    </xf>
    <xf numFmtId="10" fontId="7" fillId="0" borderId="48" xfId="0" applyNumberFormat="1" applyFont="1" applyBorder="1" applyAlignment="1">
      <alignment horizontal="right" vertical="center"/>
    </xf>
    <xf numFmtId="10" fontId="53" fillId="0" borderId="60" xfId="0" applyNumberFormat="1" applyFont="1" applyBorder="1" applyAlignment="1" applyProtection="1">
      <alignment horizontal="right" vertical="center" wrapText="1" indent="1"/>
      <protection locked="0"/>
    </xf>
    <xf numFmtId="10" fontId="45" fillId="0" borderId="25" xfId="0" applyNumberFormat="1" applyFont="1" applyBorder="1" applyAlignment="1" applyProtection="1">
      <alignment horizontal="right" vertical="center" wrapText="1" indent="1"/>
      <protection locked="0"/>
    </xf>
    <xf numFmtId="10" fontId="45" fillId="0" borderId="43" xfId="0" applyNumberFormat="1" applyFont="1" applyBorder="1" applyAlignment="1" applyProtection="1">
      <alignment horizontal="right" vertical="center" wrapText="1" indent="1"/>
      <protection locked="0"/>
    </xf>
    <xf numFmtId="10" fontId="45" fillId="0" borderId="46" xfId="0" applyNumberFormat="1" applyFont="1" applyBorder="1" applyAlignment="1" applyProtection="1">
      <alignment horizontal="right" vertical="center" wrapText="1" indent="1"/>
      <protection locked="0"/>
    </xf>
    <xf numFmtId="10" fontId="53" fillId="0" borderId="41" xfId="0" applyNumberFormat="1" applyFont="1" applyBorder="1" applyAlignment="1" applyProtection="1">
      <alignment horizontal="right" vertical="center" wrapText="1" indent="1"/>
      <protection locked="0"/>
    </xf>
    <xf numFmtId="10" fontId="45" fillId="0" borderId="48" xfId="0" applyNumberFormat="1" applyFont="1" applyBorder="1" applyAlignment="1" applyProtection="1">
      <alignment horizontal="right" vertical="center" wrapText="1" indent="1"/>
      <protection locked="0"/>
    </xf>
    <xf numFmtId="10" fontId="53" fillId="0" borderId="50" xfId="0" applyNumberFormat="1" applyFont="1" applyBorder="1" applyAlignment="1" applyProtection="1">
      <alignment horizontal="right" vertical="center" wrapText="1" indent="1"/>
      <protection locked="0"/>
    </xf>
    <xf numFmtId="3" fontId="3" fillId="49" borderId="41" xfId="0" applyNumberFormat="1" applyFont="1" applyFill="1" applyBorder="1" applyAlignment="1">
      <alignment horizontal="right" vertical="center" wrapText="1"/>
    </xf>
    <xf numFmtId="10" fontId="3" fillId="49" borderId="41" xfId="0" applyNumberFormat="1" applyFont="1" applyFill="1" applyBorder="1" applyAlignment="1">
      <alignment horizontal="right" vertical="center" wrapText="1"/>
    </xf>
    <xf numFmtId="10" fontId="7" fillId="49" borderId="43" xfId="0" applyNumberFormat="1" applyFont="1" applyFill="1" applyBorder="1" applyAlignment="1">
      <alignment horizontal="right" vertical="center" wrapText="1"/>
    </xf>
    <xf numFmtId="10" fontId="7" fillId="49" borderId="25" xfId="0" applyNumberFormat="1" applyFont="1" applyFill="1" applyBorder="1" applyAlignment="1">
      <alignment horizontal="right" vertical="center" wrapText="1"/>
    </xf>
    <xf numFmtId="10" fontId="7" fillId="0" borderId="25" xfId="0" applyNumberFormat="1" applyFont="1" applyBorder="1" applyAlignment="1">
      <alignment horizontal="right" vertical="center" wrapText="1"/>
    </xf>
    <xf numFmtId="10" fontId="7" fillId="0" borderId="48" xfId="0" applyNumberFormat="1" applyFont="1" applyBorder="1" applyAlignment="1">
      <alignment horizontal="right" vertical="center" wrapText="1"/>
    </xf>
    <xf numFmtId="10" fontId="7" fillId="0" borderId="57" xfId="0" applyNumberFormat="1" applyFont="1" applyBorder="1" applyAlignment="1">
      <alignment horizontal="right" vertical="center" wrapText="1"/>
    </xf>
    <xf numFmtId="10" fontId="3" fillId="0" borderId="41" xfId="0" applyNumberFormat="1" applyFont="1" applyBorder="1" applyAlignment="1">
      <alignment horizontal="right" vertical="center"/>
    </xf>
    <xf numFmtId="10" fontId="3" fillId="0" borderId="43" xfId="0" applyNumberFormat="1" applyFont="1" applyBorder="1" applyAlignment="1">
      <alignment horizontal="right" vertical="center"/>
    </xf>
    <xf numFmtId="10" fontId="3" fillId="0" borderId="25" xfId="0" applyNumberFormat="1" applyFont="1" applyBorder="1" applyAlignment="1">
      <alignment horizontal="right" vertical="center"/>
    </xf>
    <xf numFmtId="10" fontId="3" fillId="0" borderId="48" xfId="0" applyNumberFormat="1" applyFont="1" applyBorder="1" applyAlignment="1">
      <alignment horizontal="right" vertical="center"/>
    </xf>
    <xf numFmtId="10" fontId="7" fillId="0" borderId="57" xfId="0" applyNumberFormat="1" applyFont="1" applyBorder="1" applyAlignment="1">
      <alignment horizontal="right" vertical="center"/>
    </xf>
    <xf numFmtId="10" fontId="3" fillId="0" borderId="25" xfId="0" applyNumberFormat="1" applyFont="1" applyBorder="1" applyAlignment="1">
      <alignment vertical="center"/>
    </xf>
    <xf numFmtId="10" fontId="3" fillId="0" borderId="41" xfId="0" applyNumberFormat="1" applyFont="1" applyBorder="1" applyAlignment="1">
      <alignment vertical="center"/>
    </xf>
    <xf numFmtId="10" fontId="3" fillId="0" borderId="57" xfId="0" applyNumberFormat="1" applyFont="1" applyBorder="1" applyAlignment="1">
      <alignment vertical="center"/>
    </xf>
    <xf numFmtId="10" fontId="7" fillId="0" borderId="59" xfId="0" applyNumberFormat="1" applyFont="1" applyBorder="1" applyAlignment="1">
      <alignment vertical="center"/>
    </xf>
    <xf numFmtId="10" fontId="7" fillId="0" borderId="25" xfId="0" applyNumberFormat="1" applyFont="1" applyBorder="1" applyAlignment="1">
      <alignment vertical="center"/>
    </xf>
    <xf numFmtId="10" fontId="3" fillId="0" borderId="49" xfId="0" applyNumberFormat="1" applyFont="1" applyBorder="1" applyAlignment="1">
      <alignment horizontal="centerContinuous" vertical="center" wrapText="1"/>
    </xf>
    <xf numFmtId="10" fontId="7" fillId="0" borderId="57" xfId="0" applyNumberFormat="1" applyFont="1" applyBorder="1" applyAlignment="1">
      <alignment vertical="center"/>
    </xf>
    <xf numFmtId="10" fontId="39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10" fontId="3" fillId="0" borderId="55" xfId="0" applyNumberFormat="1" applyFont="1" applyBorder="1" applyAlignment="1">
      <alignment vertical="center"/>
    </xf>
    <xf numFmtId="167" fontId="45" fillId="0" borderId="87" xfId="0" applyNumberFormat="1" applyFont="1" applyBorder="1" applyAlignment="1" applyProtection="1">
      <alignment horizontal="right" vertical="center" wrapText="1" indent="1"/>
      <protection locked="0"/>
    </xf>
    <xf numFmtId="0" fontId="0" fillId="0" borderId="88" xfId="0" applyBorder="1" applyAlignment="1">
      <alignment horizontal="right" vertical="center" wrapText="1" indent="1"/>
    </xf>
    <xf numFmtId="10" fontId="45" fillId="0" borderId="25" xfId="0" applyNumberFormat="1" applyFont="1" applyBorder="1" applyAlignment="1" applyProtection="1">
      <alignment horizontal="right" vertical="center" wrapText="1" indent="1"/>
      <protection locked="0"/>
    </xf>
    <xf numFmtId="167" fontId="49" fillId="0" borderId="89" xfId="0" applyNumberFormat="1" applyFont="1" applyBorder="1" applyAlignment="1">
      <alignment horizontal="center" vertical="center" wrapText="1"/>
    </xf>
    <xf numFmtId="167" fontId="45" fillId="0" borderId="90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91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92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89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93" xfId="0" applyNumberFormat="1" applyFont="1" applyBorder="1" applyAlignment="1" applyProtection="1">
      <alignment horizontal="right" vertical="center" wrapText="1" indent="1"/>
      <protection locked="0"/>
    </xf>
    <xf numFmtId="0" fontId="0" fillId="0" borderId="88" xfId="0" applyFont="1" applyBorder="1" applyAlignment="1">
      <alignment horizontal="right" vertical="center" wrapText="1" indent="1"/>
    </xf>
    <xf numFmtId="167" fontId="49" fillId="0" borderId="60" xfId="0" applyNumberFormat="1" applyFont="1" applyBorder="1" applyAlignment="1">
      <alignment horizontal="center" vertical="center" wrapText="1"/>
    </xf>
    <xf numFmtId="0" fontId="0" fillId="0" borderId="72" xfId="104" applyFont="1" applyBorder="1" applyAlignment="1">
      <alignment horizontal="center" vertical="center"/>
      <protection/>
    </xf>
    <xf numFmtId="0" fontId="0" fillId="0" borderId="66" xfId="104" applyFont="1" applyBorder="1" applyAlignment="1">
      <alignment horizontal="center" vertical="center"/>
      <protection/>
    </xf>
    <xf numFmtId="3" fontId="7" fillId="0" borderId="19" xfId="104" applyNumberFormat="1" applyFont="1" applyBorder="1" applyAlignment="1">
      <alignment horizontal="right" vertical="center"/>
      <protection/>
    </xf>
    <xf numFmtId="3" fontId="7" fillId="0" borderId="22" xfId="104" applyNumberFormat="1" applyFont="1" applyBorder="1" applyAlignment="1">
      <alignment horizontal="right" vertical="center"/>
      <protection/>
    </xf>
    <xf numFmtId="10" fontId="76" fillId="0" borderId="48" xfId="106" applyNumberFormat="1" applyFont="1" applyBorder="1" applyAlignment="1">
      <alignment vertical="top"/>
      <protection/>
    </xf>
    <xf numFmtId="10" fontId="41" fillId="0" borderId="66" xfId="104" applyNumberFormat="1" applyFont="1" applyBorder="1" applyAlignment="1">
      <alignment horizontal="right"/>
      <protection/>
    </xf>
    <xf numFmtId="3" fontId="18" fillId="0" borderId="93" xfId="104" applyNumberFormat="1" applyFont="1" applyBorder="1" applyAlignment="1">
      <alignment horizontal="right"/>
      <protection/>
    </xf>
    <xf numFmtId="3" fontId="18" fillId="0" borderId="94" xfId="104" applyNumberFormat="1" applyFont="1" applyBorder="1" applyAlignment="1">
      <alignment horizontal="right"/>
      <protection/>
    </xf>
    <xf numFmtId="10" fontId="18" fillId="0" borderId="48" xfId="104" applyNumberFormat="1" applyFont="1" applyBorder="1" applyAlignment="1">
      <alignment horizontal="right"/>
      <protection/>
    </xf>
    <xf numFmtId="3" fontId="1" fillId="0" borderId="29" xfId="102" applyNumberFormat="1" applyBorder="1">
      <alignment/>
      <protection/>
    </xf>
    <xf numFmtId="0" fontId="29" fillId="0" borderId="0" xfId="107" applyFont="1">
      <alignment/>
      <protection/>
    </xf>
    <xf numFmtId="0" fontId="29" fillId="0" borderId="0" xfId="107" applyFont="1" applyAlignment="1">
      <alignment vertical="center" wrapText="1"/>
      <protection/>
    </xf>
    <xf numFmtId="167" fontId="84" fillId="0" borderId="0" xfId="107" applyNumberFormat="1" applyFont="1" applyAlignment="1">
      <alignment vertical="center" wrapText="1"/>
      <protection/>
    </xf>
    <xf numFmtId="167" fontId="27" fillId="0" borderId="0" xfId="107" applyNumberFormat="1" applyFont="1" applyAlignment="1">
      <alignment horizontal="centerContinuous" vertical="center" wrapText="1"/>
      <protection/>
    </xf>
    <xf numFmtId="0" fontId="42" fillId="0" borderId="0" xfId="0" applyFont="1" applyAlignment="1">
      <alignment/>
    </xf>
    <xf numFmtId="0" fontId="46" fillId="0" borderId="0" xfId="107" applyFont="1" applyAlignment="1">
      <alignment vertical="center" wrapText="1"/>
      <protection/>
    </xf>
    <xf numFmtId="0" fontId="30" fillId="0" borderId="0" xfId="107" applyAlignment="1" applyProtection="1">
      <alignment vertical="center" wrapText="1"/>
      <protection locked="0"/>
    </xf>
    <xf numFmtId="3" fontId="1" fillId="0" borderId="0" xfId="102" applyNumberFormat="1" applyAlignment="1">
      <alignment vertical="center"/>
      <protection/>
    </xf>
    <xf numFmtId="3" fontId="3" fillId="0" borderId="41" xfId="0" applyNumberFormat="1" applyFont="1" applyBorder="1" applyAlignment="1">
      <alignment vertical="center"/>
    </xf>
    <xf numFmtId="3" fontId="7" fillId="0" borderId="57" xfId="0" applyNumberFormat="1" applyFont="1" applyBorder="1" applyAlignment="1">
      <alignment vertical="center"/>
    </xf>
    <xf numFmtId="3" fontId="39" fillId="0" borderId="41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horizontal="right" vertical="center"/>
    </xf>
    <xf numFmtId="3" fontId="7" fillId="0" borderId="59" xfId="0" applyNumberFormat="1" applyFont="1" applyBorder="1" applyAlignment="1">
      <alignment vertical="center"/>
    </xf>
    <xf numFmtId="3" fontId="3" fillId="0" borderId="55" xfId="0" applyNumberFormat="1" applyFont="1" applyBorder="1" applyAlignment="1">
      <alignment vertical="center"/>
    </xf>
    <xf numFmtId="3" fontId="29" fillId="0" borderId="0" xfId="107" applyNumberFormat="1" applyFont="1">
      <alignment/>
      <protection/>
    </xf>
    <xf numFmtId="168" fontId="29" fillId="0" borderId="0" xfId="107" applyNumberFormat="1" applyFont="1">
      <alignment/>
      <protection/>
    </xf>
    <xf numFmtId="0" fontId="12" fillId="1" borderId="25" xfId="104" applyFont="1" applyFill="1" applyBorder="1" applyAlignment="1">
      <alignment horizontal="center" vertical="center"/>
      <protection/>
    </xf>
    <xf numFmtId="0" fontId="12" fillId="1" borderId="22" xfId="104" applyFont="1" applyFill="1" applyBorder="1" applyAlignment="1">
      <alignment horizontal="center" vertical="center"/>
      <protection/>
    </xf>
    <xf numFmtId="3" fontId="66" fillId="0" borderId="45" xfId="102" applyNumberFormat="1" applyFont="1" applyBorder="1" applyAlignment="1">
      <alignment horizontal="right"/>
      <protection/>
    </xf>
    <xf numFmtId="0" fontId="66" fillId="0" borderId="64" xfId="102" applyFont="1" applyBorder="1">
      <alignment/>
      <protection/>
    </xf>
    <xf numFmtId="3" fontId="66" fillId="0" borderId="45" xfId="102" applyNumberFormat="1" applyFont="1" applyBorder="1">
      <alignment/>
      <protection/>
    </xf>
    <xf numFmtId="0" fontId="12" fillId="1" borderId="77" xfId="104" applyFont="1" applyFill="1" applyBorder="1" applyAlignment="1">
      <alignment horizontal="center" vertical="center" wrapText="1"/>
      <protection/>
    </xf>
    <xf numFmtId="0" fontId="12" fillId="1" borderId="77" xfId="104" applyFont="1" applyFill="1" applyBorder="1" applyAlignment="1">
      <alignment horizontal="center" vertical="center"/>
      <protection/>
    </xf>
    <xf numFmtId="3" fontId="11" fillId="0" borderId="54" xfId="104" applyNumberFormat="1" applyBorder="1">
      <alignment/>
      <protection/>
    </xf>
    <xf numFmtId="167" fontId="49" fillId="0" borderId="95" xfId="0" applyNumberFormat="1" applyFont="1" applyBorder="1" applyAlignment="1">
      <alignment horizontal="center" vertical="center" wrapText="1"/>
    </xf>
    <xf numFmtId="167" fontId="49" fillId="0" borderId="71" xfId="0" applyNumberFormat="1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vertical="center"/>
    </xf>
    <xf numFmtId="10" fontId="7" fillId="0" borderId="51" xfId="0" applyNumberFormat="1" applyFont="1" applyBorder="1" applyAlignment="1">
      <alignment vertical="center"/>
    </xf>
    <xf numFmtId="10" fontId="4" fillId="0" borderId="51" xfId="0" applyNumberFormat="1" applyFont="1" applyBorder="1" applyAlignment="1">
      <alignment vertical="center"/>
    </xf>
    <xf numFmtId="10" fontId="7" fillId="0" borderId="26" xfId="0" applyNumberFormat="1" applyFont="1" applyBorder="1" applyAlignment="1">
      <alignment vertical="center"/>
    </xf>
    <xf numFmtId="10" fontId="32" fillId="0" borderId="95" xfId="104" applyNumberFormat="1" applyFont="1" applyBorder="1" applyAlignment="1">
      <alignment horizontal="right" vertical="center" wrapText="1"/>
      <protection/>
    </xf>
    <xf numFmtId="3" fontId="3" fillId="0" borderId="50" xfId="0" applyNumberFormat="1" applyFont="1" applyBorder="1" applyAlignment="1">
      <alignment horizontal="center" vertical="center" wrapText="1"/>
    </xf>
    <xf numFmtId="167" fontId="53" fillId="0" borderId="61" xfId="0" applyNumberFormat="1" applyFont="1" applyBorder="1" applyAlignment="1">
      <alignment horizontal="right" vertical="center" wrapText="1" indent="1"/>
    </xf>
    <xf numFmtId="0" fontId="3" fillId="0" borderId="49" xfId="0" applyFont="1" applyBorder="1" applyAlignment="1">
      <alignment horizontal="centerContinuous" vertical="center" wrapText="1"/>
    </xf>
    <xf numFmtId="3" fontId="32" fillId="0" borderId="66" xfId="104" applyNumberFormat="1" applyFont="1" applyBorder="1" applyAlignment="1">
      <alignment vertical="center"/>
      <protection/>
    </xf>
    <xf numFmtId="3" fontId="32" fillId="0" borderId="62" xfId="104" applyNumberFormat="1" applyFont="1" applyBorder="1" applyAlignment="1">
      <alignment horizontal="right" vertical="center" wrapText="1"/>
      <protection/>
    </xf>
    <xf numFmtId="3" fontId="32" fillId="0" borderId="95" xfId="104" applyNumberFormat="1" applyFont="1" applyBorder="1" applyAlignment="1">
      <alignment horizontal="right" vertical="center" wrapText="1"/>
      <protection/>
    </xf>
    <xf numFmtId="3" fontId="18" fillId="0" borderId="74" xfId="104" applyNumberFormat="1" applyFont="1" applyBorder="1" applyAlignment="1">
      <alignment horizontal="right"/>
      <protection/>
    </xf>
    <xf numFmtId="0" fontId="12" fillId="1" borderId="35" xfId="104" applyFont="1" applyFill="1" applyBorder="1" applyAlignment="1">
      <alignment horizontal="center" vertical="center"/>
      <protection/>
    </xf>
    <xf numFmtId="0" fontId="3" fillId="0" borderId="61" xfId="0" applyFont="1" applyBorder="1" applyAlignment="1">
      <alignment horizontal="centerContinuous" vertical="center" wrapText="1"/>
    </xf>
    <xf numFmtId="0" fontId="75" fillId="0" borderId="96" xfId="0" applyFont="1" applyBorder="1" applyAlignment="1">
      <alignment horizontal="center" vertical="center" wrapText="1"/>
    </xf>
    <xf numFmtId="3" fontId="32" fillId="0" borderId="96" xfId="104" applyNumberFormat="1" applyFont="1" applyBorder="1" applyAlignment="1">
      <alignment vertical="center"/>
      <protection/>
    </xf>
    <xf numFmtId="10" fontId="32" fillId="0" borderId="96" xfId="104" applyNumberFormat="1" applyFont="1" applyBorder="1" applyAlignment="1">
      <alignment horizontal="right" vertical="center" wrapText="1"/>
      <protection/>
    </xf>
    <xf numFmtId="167" fontId="42" fillId="0" borderId="53" xfId="107" applyNumberFormat="1" applyFont="1" applyBorder="1" applyAlignment="1">
      <alignment vertical="center"/>
      <protection/>
    </xf>
    <xf numFmtId="3" fontId="11" fillId="0" borderId="54" xfId="104" applyNumberFormat="1" applyBorder="1" applyAlignment="1">
      <alignment vertical="center"/>
      <protection/>
    </xf>
    <xf numFmtId="0" fontId="66" fillId="0" borderId="23" xfId="102" applyFont="1" applyBorder="1">
      <alignment/>
      <protection/>
    </xf>
    <xf numFmtId="0" fontId="1" fillId="0" borderId="36" xfId="102" applyBorder="1">
      <alignment/>
      <protection/>
    </xf>
    <xf numFmtId="0" fontId="1" fillId="0" borderId="36" xfId="102" applyBorder="1" applyAlignment="1">
      <alignment wrapText="1"/>
      <protection/>
    </xf>
    <xf numFmtId="3" fontId="1" fillId="0" borderId="0" xfId="102" applyNumberFormat="1">
      <alignment/>
      <protection/>
    </xf>
    <xf numFmtId="0" fontId="0" fillId="0" borderId="21" xfId="104" applyFont="1" applyBorder="1" applyAlignment="1">
      <alignment horizontal="left" vertical="center" wrapText="1"/>
      <protection/>
    </xf>
    <xf numFmtId="0" fontId="0" fillId="0" borderId="35" xfId="104" applyFont="1" applyBorder="1" applyAlignment="1">
      <alignment horizontal="center" vertical="center"/>
      <protection/>
    </xf>
    <xf numFmtId="3" fontId="7" fillId="0" borderId="27" xfId="104" applyNumberFormat="1" applyFont="1" applyBorder="1" applyAlignment="1">
      <alignment horizontal="right" vertical="center"/>
      <protection/>
    </xf>
    <xf numFmtId="167" fontId="53" fillId="0" borderId="51" xfId="0" applyNumberFormat="1" applyFont="1" applyBorder="1" applyAlignment="1">
      <alignment horizontal="right" vertical="center" wrapText="1" indent="1"/>
    </xf>
    <xf numFmtId="167" fontId="53" fillId="0" borderId="60" xfId="0" applyNumberFormat="1" applyFont="1" applyBorder="1" applyAlignment="1">
      <alignment horizontal="right" vertical="center" wrapText="1" indent="1"/>
    </xf>
    <xf numFmtId="0" fontId="45" fillId="0" borderId="51" xfId="107" applyFont="1" applyBorder="1" applyAlignment="1">
      <alignment horizontal="left" vertical="center" wrapText="1" indent="1"/>
      <protection/>
    </xf>
    <xf numFmtId="0" fontId="45" fillId="0" borderId="20" xfId="0" applyFont="1" applyBorder="1" applyAlignment="1">
      <alignment horizontal="left" vertical="center" wrapText="1" indent="1"/>
    </xf>
    <xf numFmtId="167" fontId="53" fillId="0" borderId="20" xfId="0" applyNumberFormat="1" applyFont="1" applyBorder="1" applyAlignment="1">
      <alignment horizontal="right" vertical="center" wrapText="1" indent="1"/>
    </xf>
    <xf numFmtId="10" fontId="53" fillId="0" borderId="43" xfId="0" applyNumberFormat="1" applyFont="1" applyBorder="1" applyAlignment="1">
      <alignment horizontal="right" vertical="center" wrapText="1" indent="1"/>
    </xf>
    <xf numFmtId="167" fontId="53" fillId="0" borderId="43" xfId="0" applyNumberFormat="1" applyFont="1" applyBorder="1" applyAlignment="1">
      <alignment horizontal="right" vertical="center" wrapText="1" indent="1"/>
    </xf>
    <xf numFmtId="167" fontId="53" fillId="0" borderId="19" xfId="0" applyNumberFormat="1" applyFont="1" applyBorder="1" applyAlignment="1">
      <alignment horizontal="right" vertical="center" wrapText="1" indent="1"/>
    </xf>
    <xf numFmtId="0" fontId="45" fillId="0" borderId="24" xfId="0" applyFont="1" applyBorder="1" applyAlignment="1">
      <alignment horizontal="left" vertical="center" wrapText="1" indent="1"/>
    </xf>
    <xf numFmtId="167" fontId="53" fillId="0" borderId="24" xfId="0" applyNumberFormat="1" applyFont="1" applyBorder="1" applyAlignment="1">
      <alignment horizontal="right" vertical="center" wrapText="1" indent="1"/>
    </xf>
    <xf numFmtId="167" fontId="45" fillId="0" borderId="24" xfId="0" applyNumberFormat="1" applyFont="1" applyBorder="1" applyAlignment="1">
      <alignment horizontal="right" vertical="center" wrapText="1" indent="1"/>
    </xf>
    <xf numFmtId="10" fontId="53" fillId="0" borderId="25" xfId="0" applyNumberFormat="1" applyFont="1" applyBorder="1" applyAlignment="1">
      <alignment horizontal="right" vertical="center" wrapText="1" indent="1"/>
    </xf>
    <xf numFmtId="167" fontId="53" fillId="0" borderId="25" xfId="0" applyNumberFormat="1" applyFont="1" applyBorder="1" applyAlignment="1">
      <alignment horizontal="right" vertical="center" wrapText="1" indent="1"/>
    </xf>
    <xf numFmtId="167" fontId="53" fillId="0" borderId="22" xfId="0" applyNumberFormat="1" applyFont="1" applyBorder="1" applyAlignment="1">
      <alignment horizontal="right" vertical="center" wrapText="1" indent="1"/>
    </xf>
    <xf numFmtId="0" fontId="53" fillId="0" borderId="30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left" vertical="center" wrapText="1" indent="1"/>
    </xf>
    <xf numFmtId="167" fontId="53" fillId="0" borderId="29" xfId="0" applyNumberFormat="1" applyFont="1" applyBorder="1" applyAlignment="1">
      <alignment horizontal="right" vertical="center" wrapText="1" indent="1"/>
    </xf>
    <xf numFmtId="167" fontId="45" fillId="0" borderId="29" xfId="0" applyNumberFormat="1" applyFont="1" applyBorder="1" applyAlignment="1">
      <alignment horizontal="right" vertical="center" wrapText="1" indent="1"/>
    </xf>
    <xf numFmtId="10" fontId="53" fillId="0" borderId="59" xfId="0" applyNumberFormat="1" applyFont="1" applyBorder="1" applyAlignment="1">
      <alignment horizontal="right" vertical="center" wrapText="1" indent="1"/>
    </xf>
    <xf numFmtId="167" fontId="53" fillId="0" borderId="59" xfId="0" applyNumberFormat="1" applyFont="1" applyBorder="1" applyAlignment="1">
      <alignment horizontal="right" vertical="center" wrapText="1" indent="1"/>
    </xf>
    <xf numFmtId="167" fontId="53" fillId="0" borderId="30" xfId="0" applyNumberFormat="1" applyFont="1" applyBorder="1" applyAlignment="1">
      <alignment horizontal="right" vertical="center" wrapText="1" indent="1"/>
    </xf>
    <xf numFmtId="167" fontId="53" fillId="0" borderId="91" xfId="0" applyNumberFormat="1" applyFont="1" applyBorder="1" applyAlignment="1">
      <alignment horizontal="right" vertical="center" wrapText="1" indent="1"/>
    </xf>
    <xf numFmtId="167" fontId="53" fillId="0" borderId="90" xfId="0" applyNumberFormat="1" applyFont="1" applyBorder="1" applyAlignment="1">
      <alignment horizontal="right" vertical="center" wrapText="1" indent="1"/>
    </xf>
    <xf numFmtId="0" fontId="53" fillId="0" borderId="74" xfId="0" applyFont="1" applyBorder="1" applyAlignment="1">
      <alignment horizontal="left" vertical="center" wrapText="1" indent="1"/>
    </xf>
    <xf numFmtId="167" fontId="53" fillId="0" borderId="23" xfId="0" applyNumberFormat="1" applyFont="1" applyBorder="1" applyAlignment="1">
      <alignment horizontal="right" vertical="center" wrapText="1" indent="1"/>
    </xf>
    <xf numFmtId="10" fontId="53" fillId="0" borderId="48" xfId="0" applyNumberFormat="1" applyFont="1" applyBorder="1" applyAlignment="1">
      <alignment horizontal="right" vertical="center" wrapText="1" indent="1"/>
    </xf>
    <xf numFmtId="167" fontId="53" fillId="0" borderId="26" xfId="0" applyNumberFormat="1" applyFont="1" applyBorder="1" applyAlignment="1">
      <alignment horizontal="right" vertical="center" wrapText="1" indent="1"/>
    </xf>
    <xf numFmtId="167" fontId="53" fillId="0" borderId="48" xfId="0" applyNumberFormat="1" applyFont="1" applyBorder="1" applyAlignment="1">
      <alignment horizontal="right" vertical="center" wrapText="1" indent="1"/>
    </xf>
    <xf numFmtId="167" fontId="53" fillId="0" borderId="58" xfId="0" applyNumberFormat="1" applyFont="1" applyBorder="1" applyAlignment="1">
      <alignment horizontal="right" vertical="center" wrapText="1" indent="1"/>
    </xf>
    <xf numFmtId="0" fontId="45" fillId="0" borderId="72" xfId="0" applyFont="1" applyBorder="1" applyAlignment="1">
      <alignment horizontal="left" vertical="center" wrapText="1" indent="1"/>
    </xf>
    <xf numFmtId="0" fontId="45" fillId="0" borderId="66" xfId="0" applyFont="1" applyBorder="1" applyAlignment="1">
      <alignment horizontal="left" vertical="center" wrapText="1" indent="1"/>
    </xf>
    <xf numFmtId="0" fontId="45" fillId="0" borderId="62" xfId="0" applyFont="1" applyBorder="1" applyAlignment="1">
      <alignment horizontal="left" vertical="center" wrapText="1" indent="1"/>
    </xf>
    <xf numFmtId="167" fontId="45" fillId="0" borderId="19" xfId="0" applyNumberFormat="1" applyFont="1" applyBorder="1" applyAlignment="1">
      <alignment horizontal="right" vertical="center" wrapText="1" indent="1"/>
    </xf>
    <xf numFmtId="167" fontId="45" fillId="0" borderId="22" xfId="0" applyNumberFormat="1" applyFont="1" applyBorder="1" applyAlignment="1">
      <alignment horizontal="right" vertical="center" wrapText="1" indent="1"/>
    </xf>
    <xf numFmtId="167" fontId="45" fillId="0" borderId="30" xfId="0" applyNumberFormat="1" applyFont="1" applyBorder="1" applyAlignment="1">
      <alignment horizontal="right" vertical="center" wrapText="1" indent="1"/>
    </xf>
    <xf numFmtId="0" fontId="53" fillId="0" borderId="23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14" fillId="0" borderId="0" xfId="104" applyFont="1" applyAlignment="1">
      <alignment horizontal="center"/>
      <protection/>
    </xf>
    <xf numFmtId="3" fontId="0" fillId="0" borderId="68" xfId="0" applyNumberFormat="1" applyFont="1" applyBorder="1" applyAlignment="1">
      <alignment/>
    </xf>
    <xf numFmtId="0" fontId="18" fillId="0" borderId="0" xfId="104" applyFont="1" applyAlignment="1">
      <alignment wrapText="1"/>
      <protection/>
    </xf>
    <xf numFmtId="0" fontId="3" fillId="0" borderId="38" xfId="0" applyFont="1" applyBorder="1" applyAlignment="1">
      <alignment horizontal="centerContinuous" vertical="center" wrapText="1"/>
    </xf>
    <xf numFmtId="3" fontId="2" fillId="0" borderId="41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10" fontId="7" fillId="0" borderId="43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Continuous" vertical="center" wrapText="1"/>
    </xf>
    <xf numFmtId="0" fontId="53" fillId="0" borderId="27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left" vertical="center" wrapText="1" indent="1"/>
    </xf>
    <xf numFmtId="167" fontId="53" fillId="0" borderId="21" xfId="0" applyNumberFormat="1" applyFont="1" applyBorder="1" applyAlignment="1">
      <alignment horizontal="right" vertical="center" wrapText="1" indent="1"/>
    </xf>
    <xf numFmtId="167" fontId="53" fillId="0" borderId="27" xfId="0" applyNumberFormat="1" applyFont="1" applyBorder="1" applyAlignment="1">
      <alignment horizontal="right" vertical="center" wrapText="1" indent="1"/>
    </xf>
    <xf numFmtId="0" fontId="75" fillId="0" borderId="36" xfId="0" applyFont="1" applyBorder="1" applyAlignment="1">
      <alignment vertical="center" wrapText="1"/>
    </xf>
    <xf numFmtId="3" fontId="32" fillId="0" borderId="29" xfId="104" applyNumberFormat="1" applyFont="1" applyBorder="1" applyAlignment="1">
      <alignment vertical="center"/>
      <protection/>
    </xf>
    <xf numFmtId="10" fontId="32" fillId="0" borderId="29" xfId="104" applyNumberFormat="1" applyFont="1" applyBorder="1" applyAlignment="1">
      <alignment horizontal="right" vertical="center" wrapText="1"/>
      <protection/>
    </xf>
    <xf numFmtId="3" fontId="41" fillId="51" borderId="66" xfId="104" applyNumberFormat="1" applyFont="1" applyFill="1" applyBorder="1" applyAlignment="1">
      <alignment horizontal="right"/>
      <protection/>
    </xf>
    <xf numFmtId="3" fontId="14" fillId="0" borderId="0" xfId="104" applyNumberFormat="1" applyFont="1" applyAlignment="1">
      <alignment horizontal="center"/>
      <protection/>
    </xf>
    <xf numFmtId="3" fontId="41" fillId="51" borderId="62" xfId="104" applyNumberFormat="1" applyFont="1" applyFill="1" applyBorder="1" applyAlignment="1">
      <alignment horizontal="right"/>
      <protection/>
    </xf>
    <xf numFmtId="3" fontId="41" fillId="51" borderId="29" xfId="104" applyNumberFormat="1" applyFont="1" applyFill="1" applyBorder="1" applyAlignment="1">
      <alignment horizontal="right"/>
      <protection/>
    </xf>
    <xf numFmtId="3" fontId="15" fillId="0" borderId="0" xfId="104" applyNumberFormat="1" applyFont="1">
      <alignment/>
      <protection/>
    </xf>
    <xf numFmtId="3" fontId="156" fillId="0" borderId="0" xfId="0" applyNumberFormat="1" applyFont="1" applyAlignment="1">
      <alignment/>
    </xf>
    <xf numFmtId="0" fontId="157" fillId="0" borderId="0" xfId="0" applyFont="1" applyAlignment="1">
      <alignment/>
    </xf>
    <xf numFmtId="3" fontId="7" fillId="0" borderId="21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Border="1" applyAlignment="1" applyProtection="1">
      <alignment horizontal="right" vertical="center"/>
      <protection locked="0"/>
    </xf>
    <xf numFmtId="3" fontId="7" fillId="0" borderId="24" xfId="0" applyNumberFormat="1" applyFont="1" applyBorder="1" applyAlignment="1" applyProtection="1">
      <alignment horizontal="right" vertical="center"/>
      <protection locked="0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3" fontId="7" fillId="0" borderId="19" xfId="0" applyNumberFormat="1" applyFont="1" applyBorder="1" applyAlignment="1" applyProtection="1">
      <alignment horizontal="right" vertical="center"/>
      <protection locked="0"/>
    </xf>
    <xf numFmtId="3" fontId="7" fillId="0" borderId="20" xfId="0" applyNumberFormat="1" applyFont="1" applyBorder="1" applyAlignment="1" applyProtection="1">
      <alignment horizontal="right" vertical="center"/>
      <protection locked="0"/>
    </xf>
    <xf numFmtId="3" fontId="7" fillId="0" borderId="21" xfId="0" applyNumberFormat="1" applyFont="1" applyBorder="1" applyAlignment="1" applyProtection="1">
      <alignment horizontal="right" vertical="center"/>
      <protection locked="0"/>
    </xf>
    <xf numFmtId="3" fontId="7" fillId="0" borderId="27" xfId="0" applyNumberFormat="1" applyFont="1" applyBorder="1" applyAlignment="1" applyProtection="1">
      <alignment horizontal="right" vertical="center"/>
      <protection locked="0"/>
    </xf>
    <xf numFmtId="3" fontId="7" fillId="0" borderId="22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 applyProtection="1">
      <alignment vertical="center"/>
      <protection locked="0"/>
    </xf>
    <xf numFmtId="3" fontId="7" fillId="0" borderId="27" xfId="0" applyNumberFormat="1" applyFont="1" applyBorder="1" applyAlignment="1" applyProtection="1">
      <alignment vertical="center"/>
      <protection locked="0"/>
    </xf>
    <xf numFmtId="3" fontId="7" fillId="0" borderId="30" xfId="0" applyNumberFormat="1" applyFont="1" applyBorder="1" applyAlignment="1" applyProtection="1">
      <alignment vertical="center"/>
      <protection locked="0"/>
    </xf>
    <xf numFmtId="3" fontId="7" fillId="0" borderId="29" xfId="0" applyNumberFormat="1" applyFont="1" applyBorder="1" applyAlignment="1" applyProtection="1">
      <alignment vertical="center"/>
      <protection locked="0"/>
    </xf>
    <xf numFmtId="0" fontId="158" fillId="0" borderId="0" xfId="104" applyFont="1">
      <alignment/>
      <protection/>
    </xf>
    <xf numFmtId="3" fontId="11" fillId="0" borderId="34" xfId="104" applyNumberFormat="1" applyBorder="1" applyAlignment="1">
      <alignment vertical="center"/>
      <protection/>
    </xf>
    <xf numFmtId="3" fontId="7" fillId="0" borderId="57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 applyProtection="1">
      <alignment horizontal="right" vertical="center"/>
      <protection locked="0"/>
    </xf>
    <xf numFmtId="3" fontId="7" fillId="0" borderId="57" xfId="0" applyNumberFormat="1" applyFont="1" applyBorder="1" applyAlignment="1" applyProtection="1">
      <alignment horizontal="right" vertical="center"/>
      <protection locked="0"/>
    </xf>
    <xf numFmtId="3" fontId="7" fillId="0" borderId="48" xfId="0" applyNumberFormat="1" applyFont="1" applyBorder="1" applyAlignment="1">
      <alignment horizontal="right" vertical="center"/>
    </xf>
    <xf numFmtId="3" fontId="7" fillId="0" borderId="59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10" fontId="45" fillId="0" borderId="57" xfId="0" applyNumberFormat="1" applyFont="1" applyBorder="1" applyAlignment="1">
      <alignment horizontal="right" vertical="center" wrapText="1" indent="1"/>
    </xf>
    <xf numFmtId="167" fontId="45" fillId="0" borderId="57" xfId="0" applyNumberFormat="1" applyFont="1" applyBorder="1" applyAlignment="1">
      <alignment horizontal="right" vertical="center" wrapText="1" indent="1"/>
    </xf>
    <xf numFmtId="167" fontId="45" fillId="0" borderId="27" xfId="0" applyNumberFormat="1" applyFont="1" applyBorder="1" applyAlignment="1">
      <alignment horizontal="right" vertical="center" wrapText="1" indent="1"/>
    </xf>
    <xf numFmtId="167" fontId="45" fillId="0" borderId="25" xfId="0" applyNumberFormat="1" applyFont="1" applyBorder="1" applyAlignment="1">
      <alignment horizontal="right" vertical="center" wrapText="1" indent="1"/>
    </xf>
    <xf numFmtId="10" fontId="45" fillId="0" borderId="59" xfId="0" applyNumberFormat="1" applyFont="1" applyBorder="1" applyAlignment="1">
      <alignment horizontal="right" vertical="center" wrapText="1" indent="1"/>
    </xf>
    <xf numFmtId="167" fontId="45" fillId="0" borderId="58" xfId="0" applyNumberFormat="1" applyFont="1" applyBorder="1" applyAlignment="1">
      <alignment horizontal="right" vertical="center" wrapText="1" indent="1"/>
    </xf>
    <xf numFmtId="167" fontId="45" fillId="0" borderId="23" xfId="0" applyNumberFormat="1" applyFont="1" applyBorder="1" applyAlignment="1">
      <alignment horizontal="right" vertical="center" wrapText="1" indent="1"/>
    </xf>
    <xf numFmtId="10" fontId="45" fillId="0" borderId="48" xfId="0" applyNumberFormat="1" applyFont="1" applyBorder="1" applyAlignment="1">
      <alignment horizontal="right" vertical="center" wrapText="1" indent="1"/>
    </xf>
    <xf numFmtId="167" fontId="45" fillId="0" borderId="93" xfId="0" applyNumberFormat="1" applyFont="1" applyBorder="1" applyAlignment="1">
      <alignment horizontal="right" vertical="center" wrapText="1" indent="1"/>
    </xf>
    <xf numFmtId="3" fontId="4" fillId="0" borderId="0" xfId="0" applyNumberFormat="1" applyFont="1" applyAlignment="1">
      <alignment vertical="center"/>
    </xf>
    <xf numFmtId="3" fontId="3" fillId="0" borderId="40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10" fontId="3" fillId="0" borderId="41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 wrapText="1"/>
    </xf>
    <xf numFmtId="10" fontId="7" fillId="0" borderId="43" xfId="0" applyNumberFormat="1" applyFont="1" applyBorder="1" applyAlignment="1">
      <alignment horizontal="right" vertical="center" wrapText="1"/>
    </xf>
    <xf numFmtId="3" fontId="7" fillId="0" borderId="43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 applyProtection="1">
      <alignment horizontal="right" vertical="center" wrapText="1"/>
      <protection locked="0"/>
    </xf>
    <xf numFmtId="3" fontId="7" fillId="0" borderId="24" xfId="0" applyNumberFormat="1" applyFont="1" applyBorder="1" applyAlignment="1" applyProtection="1">
      <alignment horizontal="right" vertical="center" wrapText="1"/>
      <protection locked="0"/>
    </xf>
    <xf numFmtId="3" fontId="7" fillId="0" borderId="25" xfId="0" applyNumberFormat="1" applyFont="1" applyBorder="1" applyAlignment="1" applyProtection="1">
      <alignment horizontal="right" vertical="center" wrapText="1"/>
      <protection locked="0"/>
    </xf>
    <xf numFmtId="3" fontId="7" fillId="0" borderId="22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 applyProtection="1">
      <alignment horizontal="right" vertical="center" wrapText="1"/>
      <protection locked="0"/>
    </xf>
    <xf numFmtId="3" fontId="7" fillId="0" borderId="26" xfId="0" applyNumberFormat="1" applyFont="1" applyBorder="1" applyAlignment="1" applyProtection="1">
      <alignment horizontal="right" vertical="center" wrapText="1"/>
      <protection locked="0"/>
    </xf>
    <xf numFmtId="3" fontId="7" fillId="0" borderId="27" xfId="0" applyNumberFormat="1" applyFont="1" applyBorder="1" applyAlignment="1" applyProtection="1">
      <alignment horizontal="right" vertical="center" wrapText="1"/>
      <protection locked="0"/>
    </xf>
    <xf numFmtId="3" fontId="7" fillId="0" borderId="21" xfId="0" applyNumberFormat="1" applyFont="1" applyBorder="1" applyAlignment="1" applyProtection="1">
      <alignment horizontal="right" vertical="center" wrapText="1"/>
      <protection locked="0"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0" fontId="157" fillId="0" borderId="0" xfId="0" applyFont="1" applyAlignment="1">
      <alignment/>
    </xf>
    <xf numFmtId="3" fontId="156" fillId="0" borderId="0" xfId="0" applyNumberFormat="1" applyFont="1" applyAlignment="1">
      <alignment/>
    </xf>
    <xf numFmtId="0" fontId="66" fillId="0" borderId="36" xfId="102" applyFont="1" applyBorder="1" applyAlignment="1">
      <alignment wrapText="1"/>
      <protection/>
    </xf>
    <xf numFmtId="10" fontId="41" fillId="0" borderId="62" xfId="104" applyNumberFormat="1" applyFont="1" applyBorder="1" applyAlignment="1">
      <alignment horizontal="right"/>
      <protection/>
    </xf>
    <xf numFmtId="0" fontId="53" fillId="0" borderId="49" xfId="0" applyFont="1" applyBorder="1" applyAlignment="1">
      <alignment horizontal="center" vertical="center" wrapText="1"/>
    </xf>
    <xf numFmtId="0" fontId="0" fillId="0" borderId="0" xfId="95">
      <alignment/>
      <protection/>
    </xf>
    <xf numFmtId="3" fontId="66" fillId="0" borderId="0" xfId="102" applyNumberFormat="1" applyFont="1">
      <alignment/>
      <protection/>
    </xf>
    <xf numFmtId="3" fontId="71" fillId="0" borderId="0" xfId="104" applyNumberFormat="1" applyFont="1">
      <alignment/>
      <protection/>
    </xf>
    <xf numFmtId="3" fontId="6" fillId="0" borderId="0" xfId="0" applyNumberFormat="1" applyFont="1" applyAlignment="1">
      <alignment/>
    </xf>
    <xf numFmtId="0" fontId="15" fillId="0" borderId="22" xfId="104" applyFont="1" applyBorder="1" applyAlignment="1">
      <alignment horizontal="left" wrapText="1"/>
      <protection/>
    </xf>
    <xf numFmtId="0" fontId="11" fillId="0" borderId="30" xfId="104" applyBorder="1" applyAlignment="1">
      <alignment horizontal="center" vertical="center"/>
      <protection/>
    </xf>
    <xf numFmtId="3" fontId="76" fillId="0" borderId="30" xfId="106" applyNumberFormat="1" applyFont="1" applyBorder="1">
      <alignment/>
      <protection/>
    </xf>
    <xf numFmtId="3" fontId="76" fillId="0" borderId="29" xfId="106" applyNumberFormat="1" applyFont="1" applyBorder="1">
      <alignment/>
      <protection/>
    </xf>
    <xf numFmtId="10" fontId="76" fillId="0" borderId="59" xfId="106" applyNumberFormat="1" applyFont="1" applyBorder="1" applyAlignment="1">
      <alignment vertical="top"/>
      <protection/>
    </xf>
    <xf numFmtId="3" fontId="76" fillId="0" borderId="59" xfId="106" applyNumberFormat="1" applyFont="1" applyBorder="1">
      <alignment/>
      <protection/>
    </xf>
    <xf numFmtId="0" fontId="41" fillId="0" borderId="0" xfId="104" applyFont="1">
      <alignment/>
      <protection/>
    </xf>
    <xf numFmtId="3" fontId="41" fillId="0" borderId="0" xfId="104" applyNumberFormat="1" applyFont="1">
      <alignment/>
      <protection/>
    </xf>
    <xf numFmtId="3" fontId="15" fillId="0" borderId="0" xfId="104" applyNumberFormat="1" applyFont="1">
      <alignment/>
      <protection/>
    </xf>
    <xf numFmtId="0" fontId="12" fillId="0" borderId="27" xfId="104" applyFont="1" applyBorder="1" applyAlignment="1">
      <alignment horizontal="center" vertical="center" wrapText="1"/>
      <protection/>
    </xf>
    <xf numFmtId="0" fontId="12" fillId="0" borderId="22" xfId="104" applyFont="1" applyBorder="1" applyAlignment="1">
      <alignment horizontal="center" vertical="center"/>
      <protection/>
    </xf>
    <xf numFmtId="0" fontId="12" fillId="0" borderId="25" xfId="104" applyFont="1" applyBorder="1" applyAlignment="1">
      <alignment horizontal="center" vertical="center"/>
      <protection/>
    </xf>
    <xf numFmtId="0" fontId="12" fillId="0" borderId="21" xfId="104" applyFont="1" applyBorder="1" applyAlignment="1">
      <alignment horizontal="center" vertical="center"/>
      <protection/>
    </xf>
    <xf numFmtId="0" fontId="12" fillId="0" borderId="21" xfId="104" applyFont="1" applyBorder="1" applyAlignment="1">
      <alignment horizontal="center" vertical="center" wrapText="1"/>
      <protection/>
    </xf>
    <xf numFmtId="0" fontId="12" fillId="0" borderId="77" xfId="104" applyFont="1" applyBorder="1" applyAlignment="1">
      <alignment horizontal="center" vertical="center" wrapText="1"/>
      <protection/>
    </xf>
    <xf numFmtId="0" fontId="12" fillId="0" borderId="77" xfId="104" applyFont="1" applyBorder="1" applyAlignment="1">
      <alignment horizontal="center" vertical="center"/>
      <protection/>
    </xf>
    <xf numFmtId="0" fontId="12" fillId="0" borderId="35" xfId="104" applyFont="1" applyBorder="1" applyAlignment="1">
      <alignment horizontal="center" vertical="center"/>
      <protection/>
    </xf>
    <xf numFmtId="3" fontId="66" fillId="0" borderId="0" xfId="102" applyNumberFormat="1" applyFont="1" applyAlignment="1">
      <alignment vertical="center"/>
      <protection/>
    </xf>
    <xf numFmtId="0" fontId="12" fillId="0" borderId="23" xfId="104" applyFont="1" applyBorder="1" applyAlignment="1">
      <alignment vertical="center" wrapText="1"/>
      <protection/>
    </xf>
    <xf numFmtId="10" fontId="18" fillId="0" borderId="48" xfId="104" applyNumberFormat="1" applyFont="1" applyBorder="1" applyAlignment="1">
      <alignment horizontal="right"/>
      <protection/>
    </xf>
    <xf numFmtId="3" fontId="18" fillId="0" borderId="93" xfId="74" applyNumberFormat="1" applyFont="1" applyBorder="1" applyAlignment="1">
      <alignment horizontal="right" vertical="center"/>
    </xf>
    <xf numFmtId="0" fontId="15" fillId="0" borderId="0" xfId="104" applyFont="1" applyAlignment="1">
      <alignment wrapText="1"/>
      <protection/>
    </xf>
    <xf numFmtId="0" fontId="15" fillId="0" borderId="0" xfId="104" applyFont="1">
      <alignment/>
      <protection/>
    </xf>
    <xf numFmtId="10" fontId="53" fillId="0" borderId="38" xfId="0" applyNumberFormat="1" applyFont="1" applyBorder="1" applyAlignment="1" applyProtection="1">
      <alignment horizontal="right" vertical="center" wrapText="1" indent="1"/>
      <protection locked="0"/>
    </xf>
    <xf numFmtId="10" fontId="53" fillId="0" borderId="61" xfId="0" applyNumberFormat="1" applyFont="1" applyBorder="1" applyAlignment="1">
      <alignment horizontal="right" vertical="center" wrapText="1" indent="1"/>
    </xf>
    <xf numFmtId="10" fontId="53" fillId="0" borderId="72" xfId="0" applyNumberFormat="1" applyFont="1" applyBorder="1" applyAlignment="1">
      <alignment horizontal="right" vertical="center" wrapText="1" indent="1"/>
    </xf>
    <xf numFmtId="10" fontId="53" fillId="0" borderId="69" xfId="0" applyNumberFormat="1" applyFont="1" applyBorder="1" applyAlignment="1">
      <alignment horizontal="right" vertical="center" wrapText="1" indent="1"/>
    </xf>
    <xf numFmtId="10" fontId="53" fillId="0" borderId="66" xfId="0" applyNumberFormat="1" applyFont="1" applyBorder="1" applyAlignment="1">
      <alignment horizontal="right" vertical="center" wrapText="1" indent="1"/>
    </xf>
    <xf numFmtId="10" fontId="53" fillId="0" borderId="62" xfId="0" applyNumberFormat="1" applyFont="1" applyBorder="1" applyAlignment="1">
      <alignment horizontal="right" vertical="center" wrapText="1" indent="1"/>
    </xf>
    <xf numFmtId="10" fontId="53" fillId="0" borderId="95" xfId="0" applyNumberFormat="1" applyFont="1" applyBorder="1" applyAlignment="1" applyProtection="1">
      <alignment horizontal="right" vertical="center" wrapText="1" indent="1"/>
      <protection locked="0"/>
    </xf>
    <xf numFmtId="10" fontId="45" fillId="0" borderId="66" xfId="0" applyNumberFormat="1" applyFont="1" applyBorder="1" applyAlignment="1" applyProtection="1">
      <alignment horizontal="right" vertical="center" wrapText="1" indent="1"/>
      <protection locked="0"/>
    </xf>
    <xf numFmtId="10" fontId="45" fillId="0" borderId="72" xfId="0" applyNumberFormat="1" applyFont="1" applyBorder="1" applyAlignment="1" applyProtection="1">
      <alignment horizontal="right" vertical="center" wrapText="1" indent="1"/>
      <protection locked="0"/>
    </xf>
    <xf numFmtId="10" fontId="45" fillId="0" borderId="73" xfId="0" applyNumberFormat="1" applyFont="1" applyBorder="1" applyAlignment="1" applyProtection="1">
      <alignment horizontal="right" vertical="center" wrapText="1" indent="1"/>
      <protection locked="0"/>
    </xf>
    <xf numFmtId="10" fontId="53" fillId="0" borderId="61" xfId="0" applyNumberFormat="1" applyFont="1" applyBorder="1" applyAlignment="1" applyProtection="1">
      <alignment horizontal="right" vertical="center" wrapText="1" indent="1"/>
      <protection locked="0"/>
    </xf>
    <xf numFmtId="10" fontId="45" fillId="0" borderId="66" xfId="0" applyNumberFormat="1" applyFont="1" applyBorder="1" applyAlignment="1" applyProtection="1">
      <alignment horizontal="right" vertical="center" wrapText="1" indent="1"/>
      <protection locked="0"/>
    </xf>
    <xf numFmtId="10" fontId="45" fillId="0" borderId="74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97" xfId="0" applyNumberFormat="1" applyFont="1" applyBorder="1" applyAlignment="1">
      <alignment horizontal="right" vertical="center" wrapText="1" indent="1"/>
    </xf>
    <xf numFmtId="167" fontId="53" fillId="0" borderId="89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89" xfId="0" applyNumberFormat="1" applyFont="1" applyBorder="1" applyAlignment="1" applyProtection="1">
      <alignment horizontal="right" vertical="center" wrapText="1" indent="1"/>
      <protection locked="0"/>
    </xf>
    <xf numFmtId="0" fontId="12" fillId="0" borderId="0" xfId="104" applyFont="1" applyAlignment="1">
      <alignment horizontal="center"/>
      <protection/>
    </xf>
    <xf numFmtId="0" fontId="11" fillId="0" borderId="0" xfId="104" applyAlignment="1">
      <alignment horizontal="left" wrapText="1"/>
      <protection/>
    </xf>
    <xf numFmtId="0" fontId="18" fillId="0" borderId="0" xfId="104" applyFont="1" applyAlignment="1">
      <alignment horizontal="center"/>
      <protection/>
    </xf>
    <xf numFmtId="0" fontId="18" fillId="0" borderId="0" xfId="104" applyFont="1" applyAlignment="1">
      <alignment horizontal="center" wrapText="1"/>
      <protection/>
    </xf>
    <xf numFmtId="0" fontId="11" fillId="0" borderId="53" xfId="104" applyBorder="1">
      <alignment/>
      <protection/>
    </xf>
    <xf numFmtId="0" fontId="6" fillId="0" borderId="31" xfId="104" applyFont="1" applyBorder="1" applyAlignment="1">
      <alignment horizontal="center" vertical="center"/>
      <protection/>
    </xf>
    <xf numFmtId="0" fontId="6" fillId="0" borderId="28" xfId="104" applyFont="1" applyBorder="1" applyAlignment="1">
      <alignment horizontal="center" vertical="center" wrapText="1"/>
      <protection/>
    </xf>
    <xf numFmtId="0" fontId="6" fillId="0" borderId="38" xfId="104" applyFont="1" applyBorder="1" applyAlignment="1">
      <alignment horizontal="center" vertical="center"/>
      <protection/>
    </xf>
    <xf numFmtId="0" fontId="6" fillId="0" borderId="40" xfId="104" applyFont="1" applyBorder="1" applyAlignment="1">
      <alignment horizontal="center" vertical="center" wrapText="1"/>
      <protection/>
    </xf>
    <xf numFmtId="0" fontId="2" fillId="0" borderId="35" xfId="104" applyFont="1" applyBorder="1" applyAlignment="1">
      <alignment horizontal="center" vertical="center"/>
      <protection/>
    </xf>
    <xf numFmtId="0" fontId="2" fillId="0" borderId="66" xfId="104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6" fillId="0" borderId="28" xfId="104" applyFont="1" applyBorder="1" applyAlignment="1">
      <alignment vertical="center" wrapText="1"/>
      <protection/>
    </xf>
    <xf numFmtId="0" fontId="6" fillId="0" borderId="61" xfId="104" applyFont="1" applyBorder="1" applyAlignment="1">
      <alignment vertical="center"/>
      <protection/>
    </xf>
    <xf numFmtId="3" fontId="3" fillId="0" borderId="40" xfId="104" applyNumberFormat="1" applyFont="1" applyBorder="1" applyAlignment="1">
      <alignment vertical="center"/>
      <protection/>
    </xf>
    <xf numFmtId="3" fontId="13" fillId="0" borderId="0" xfId="104" applyNumberFormat="1" applyFont="1" applyAlignment="1">
      <alignment vertical="center"/>
      <protection/>
    </xf>
    <xf numFmtId="0" fontId="13" fillId="0" borderId="0" xfId="104" applyFont="1" applyAlignment="1">
      <alignment vertical="center"/>
      <protection/>
    </xf>
    <xf numFmtId="0" fontId="0" fillId="0" borderId="23" xfId="104" applyFont="1" applyBorder="1" applyAlignment="1">
      <alignment horizontal="center" vertical="center"/>
      <protection/>
    </xf>
    <xf numFmtId="3" fontId="2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40" xfId="118" applyNumberFormat="1" applyFont="1" applyBorder="1" applyAlignment="1">
      <alignment horizontal="right" vertical="center" wrapText="1" indent="1"/>
    </xf>
    <xf numFmtId="10" fontId="45" fillId="0" borderId="19" xfId="118" applyNumberFormat="1" applyFont="1" applyBorder="1" applyAlignment="1">
      <alignment horizontal="right" vertical="center" wrapText="1" indent="1"/>
    </xf>
    <xf numFmtId="10" fontId="45" fillId="0" borderId="22" xfId="118" applyNumberFormat="1" applyFont="1" applyBorder="1" applyAlignment="1">
      <alignment horizontal="right" vertical="center" wrapText="1" indent="1"/>
    </xf>
    <xf numFmtId="10" fontId="45" fillId="0" borderId="30" xfId="118" applyNumberFormat="1" applyFont="1" applyBorder="1" applyAlignment="1">
      <alignment horizontal="right" vertical="center" wrapText="1" indent="1"/>
    </xf>
    <xf numFmtId="10" fontId="45" fillId="0" borderId="23" xfId="118" applyNumberFormat="1" applyFont="1" applyBorder="1" applyAlignment="1">
      <alignment horizontal="right" vertical="center" wrapText="1" indent="1"/>
    </xf>
    <xf numFmtId="10" fontId="45" fillId="0" borderId="22" xfId="118" applyNumberFormat="1" applyFont="1" applyBorder="1" applyAlignment="1" applyProtection="1">
      <alignment horizontal="right" vertical="center" wrapText="1" indent="1"/>
      <protection locked="0"/>
    </xf>
    <xf numFmtId="10" fontId="45" fillId="0" borderId="19" xfId="118" applyNumberFormat="1" applyFont="1" applyBorder="1" applyAlignment="1" applyProtection="1">
      <alignment horizontal="right" vertical="center" wrapText="1" indent="1"/>
      <protection locked="0"/>
    </xf>
    <xf numFmtId="10" fontId="45" fillId="0" borderId="44" xfId="118" applyNumberFormat="1" applyFont="1" applyBorder="1" applyAlignment="1" applyProtection="1">
      <alignment horizontal="right" vertical="center" wrapText="1" indent="1"/>
      <protection locked="0"/>
    </xf>
    <xf numFmtId="10" fontId="53" fillId="0" borderId="40" xfId="118" applyNumberFormat="1" applyFont="1" applyBorder="1" applyAlignment="1" applyProtection="1">
      <alignment horizontal="right" vertical="center" wrapText="1" indent="1"/>
      <protection locked="0"/>
    </xf>
    <xf numFmtId="10" fontId="53" fillId="0" borderId="47" xfId="118" applyNumberFormat="1" applyFont="1" applyBorder="1" applyAlignment="1">
      <alignment horizontal="right" vertical="center" wrapText="1" indent="1"/>
    </xf>
    <xf numFmtId="10" fontId="45" fillId="0" borderId="42" xfId="118" applyNumberFormat="1" applyFont="1" applyBorder="1" applyAlignment="1" applyProtection="1">
      <alignment horizontal="right" vertical="center" wrapText="1" indent="1"/>
      <protection locked="0"/>
    </xf>
    <xf numFmtId="10" fontId="45" fillId="0" borderId="23" xfId="118" applyNumberFormat="1" applyFont="1" applyBorder="1" applyAlignment="1" applyProtection="1">
      <alignment horizontal="right" vertical="center" wrapText="1" indent="1"/>
      <protection locked="0"/>
    </xf>
    <xf numFmtId="10" fontId="53" fillId="0" borderId="40" xfId="118" applyNumberFormat="1" applyFont="1" applyBorder="1" applyAlignment="1">
      <alignment horizontal="right" vertical="center" wrapText="1" indent="1"/>
    </xf>
    <xf numFmtId="10" fontId="53" fillId="0" borderId="0" xfId="118" applyNumberFormat="1" applyFont="1" applyAlignment="1">
      <alignment horizontal="right" vertical="center" wrapText="1" indent="1"/>
    </xf>
    <xf numFmtId="10" fontId="45" fillId="0" borderId="0" xfId="118" applyNumberFormat="1" applyFont="1" applyAlignment="1">
      <alignment horizontal="right" vertical="center" wrapText="1" indent="1"/>
    </xf>
    <xf numFmtId="10" fontId="53" fillId="0" borderId="28" xfId="118" applyNumberFormat="1" applyFont="1" applyBorder="1" applyAlignment="1">
      <alignment horizontal="right" vertical="center" wrapText="1" indent="1"/>
    </xf>
    <xf numFmtId="10" fontId="45" fillId="0" borderId="27" xfId="118" applyNumberFormat="1" applyFont="1" applyBorder="1" applyAlignment="1" applyProtection="1">
      <alignment horizontal="right" vertical="center" wrapText="1" indent="1"/>
      <protection locked="0"/>
    </xf>
    <xf numFmtId="10" fontId="45" fillId="0" borderId="22" xfId="118" applyNumberFormat="1" applyFont="1" applyBorder="1" applyAlignment="1" applyProtection="1">
      <alignment horizontal="right" vertical="center" wrapText="1" indent="1"/>
      <protection locked="0"/>
    </xf>
    <xf numFmtId="10" fontId="0" fillId="0" borderId="42" xfId="118" applyNumberFormat="1" applyFont="1" applyBorder="1" applyAlignment="1">
      <alignment horizontal="right" vertical="center" wrapText="1" indent="1"/>
    </xf>
    <xf numFmtId="10" fontId="28" fillId="0" borderId="40" xfId="118" applyNumberFormat="1" applyFont="1" applyBorder="1" applyAlignment="1" applyProtection="1">
      <alignment horizontal="right" vertical="center" wrapText="1" indent="1"/>
      <protection locked="0"/>
    </xf>
    <xf numFmtId="167" fontId="45" fillId="0" borderId="90" xfId="0" applyNumberFormat="1" applyFont="1" applyBorder="1" applyAlignment="1">
      <alignment horizontal="right" vertical="center" wrapText="1" indent="1"/>
    </xf>
    <xf numFmtId="10" fontId="53" fillId="0" borderId="28" xfId="118" applyNumberFormat="1" applyFont="1" applyBorder="1" applyAlignment="1">
      <alignment horizontal="right" vertical="center" wrapText="1" indent="1"/>
    </xf>
    <xf numFmtId="10" fontId="53" fillId="0" borderId="20" xfId="118" applyNumberFormat="1" applyFont="1" applyBorder="1" applyAlignment="1">
      <alignment horizontal="right" vertical="center" wrapText="1" indent="1"/>
    </xf>
    <xf numFmtId="10" fontId="53" fillId="0" borderId="21" xfId="118" applyNumberFormat="1" applyFont="1" applyBorder="1" applyAlignment="1">
      <alignment horizontal="right" vertical="center" wrapText="1" indent="1"/>
    </xf>
    <xf numFmtId="10" fontId="45" fillId="0" borderId="24" xfId="118" applyNumberFormat="1" applyFont="1" applyBorder="1" applyAlignment="1">
      <alignment horizontal="right" vertical="center" wrapText="1" indent="1"/>
    </xf>
    <xf numFmtId="10" fontId="45" fillId="0" borderId="29" xfId="118" applyNumberFormat="1" applyFont="1" applyBorder="1" applyAlignment="1">
      <alignment horizontal="right" vertical="center" wrapText="1" indent="1"/>
    </xf>
    <xf numFmtId="10" fontId="53" fillId="0" borderId="51" xfId="118" applyNumberFormat="1" applyFont="1" applyBorder="1" applyAlignment="1" applyProtection="1">
      <alignment horizontal="right" vertical="center" wrapText="1" indent="1"/>
      <protection locked="0"/>
    </xf>
    <xf numFmtId="10" fontId="45" fillId="0" borderId="24" xfId="118" applyNumberFormat="1" applyFont="1" applyBorder="1" applyAlignment="1" applyProtection="1">
      <alignment horizontal="right" vertical="center" wrapText="1" indent="1"/>
      <protection locked="0"/>
    </xf>
    <xf numFmtId="10" fontId="45" fillId="0" borderId="20" xfId="118" applyNumberFormat="1" applyFont="1" applyBorder="1" applyAlignment="1" applyProtection="1">
      <alignment horizontal="right" vertical="center" wrapText="1" indent="1"/>
      <protection locked="0"/>
    </xf>
    <xf numFmtId="10" fontId="45" fillId="0" borderId="45" xfId="118" applyNumberFormat="1" applyFont="1" applyBorder="1" applyAlignment="1" applyProtection="1">
      <alignment horizontal="right" vertical="center" wrapText="1" indent="1"/>
      <protection locked="0"/>
    </xf>
    <xf numFmtId="10" fontId="53" fillId="0" borderId="28" xfId="118" applyNumberFormat="1" applyFont="1" applyBorder="1" applyAlignment="1" applyProtection="1">
      <alignment horizontal="right" vertical="center" wrapText="1" indent="1"/>
      <protection locked="0"/>
    </xf>
    <xf numFmtId="10" fontId="53" fillId="0" borderId="49" xfId="118" applyNumberFormat="1" applyFont="1" applyBorder="1" applyAlignment="1">
      <alignment horizontal="right" vertical="center" wrapText="1" indent="1"/>
    </xf>
    <xf numFmtId="10" fontId="53" fillId="0" borderId="56" xfId="118" applyNumberFormat="1" applyFont="1" applyBorder="1" applyAlignment="1">
      <alignment horizontal="right" vertical="center" wrapText="1" indent="1"/>
    </xf>
    <xf numFmtId="10" fontId="45" fillId="0" borderId="51" xfId="118" applyNumberFormat="1" applyFont="1" applyBorder="1" applyAlignment="1" applyProtection="1">
      <alignment horizontal="right" vertical="center" wrapText="1" indent="1"/>
      <protection locked="0"/>
    </xf>
    <xf numFmtId="10" fontId="45" fillId="0" borderId="26" xfId="118" applyNumberFormat="1" applyFont="1" applyBorder="1" applyAlignment="1" applyProtection="1">
      <alignment horizontal="right" vertical="center" wrapText="1" indent="1"/>
      <protection locked="0"/>
    </xf>
    <xf numFmtId="10" fontId="53" fillId="0" borderId="49" xfId="118" applyNumberFormat="1" applyFont="1" applyBorder="1" applyAlignment="1" applyProtection="1">
      <alignment horizontal="right" vertical="center" wrapText="1" indent="1"/>
      <protection locked="0"/>
    </xf>
    <xf numFmtId="10" fontId="53" fillId="0" borderId="49" xfId="118" applyNumberFormat="1" applyFont="1" applyBorder="1" applyAlignment="1">
      <alignment horizontal="right" vertical="center" wrapText="1" indent="1"/>
    </xf>
    <xf numFmtId="10" fontId="53" fillId="0" borderId="38" xfId="118" applyNumberFormat="1" applyFont="1" applyBorder="1" applyAlignment="1">
      <alignment horizontal="right" vertical="center" wrapText="1" indent="1"/>
    </xf>
    <xf numFmtId="10" fontId="0" fillId="0" borderId="42" xfId="118" applyNumberFormat="1" applyFont="1" applyBorder="1" applyAlignment="1">
      <alignment horizontal="right" vertical="center" wrapText="1" indent="1"/>
    </xf>
    <xf numFmtId="10" fontId="3" fillId="0" borderId="28" xfId="118" applyNumberFormat="1" applyFont="1" applyBorder="1" applyAlignment="1">
      <alignment horizontal="right" vertical="center" wrapText="1"/>
    </xf>
    <xf numFmtId="10" fontId="7" fillId="0" borderId="19" xfId="118" applyNumberFormat="1" applyFont="1" applyBorder="1" applyAlignment="1">
      <alignment horizontal="right" vertical="center" wrapText="1"/>
    </xf>
    <xf numFmtId="10" fontId="7" fillId="0" borderId="24" xfId="118" applyNumberFormat="1" applyFont="1" applyBorder="1" applyAlignment="1" applyProtection="1">
      <alignment horizontal="right" vertical="center" wrapText="1"/>
      <protection locked="0"/>
    </xf>
    <xf numFmtId="10" fontId="7" fillId="0" borderId="22" xfId="118" applyNumberFormat="1" applyFont="1" applyBorder="1" applyAlignment="1" applyProtection="1">
      <alignment horizontal="right" vertical="center" wrapText="1"/>
      <protection locked="0"/>
    </xf>
    <xf numFmtId="10" fontId="7" fillId="0" borderId="22" xfId="118" applyNumberFormat="1" applyFont="1" applyBorder="1" applyAlignment="1">
      <alignment horizontal="right" vertical="center" wrapText="1"/>
    </xf>
    <xf numFmtId="10" fontId="7" fillId="0" borderId="24" xfId="118" applyNumberFormat="1" applyFont="1" applyBorder="1" applyAlignment="1">
      <alignment horizontal="right" vertical="center" wrapText="1"/>
    </xf>
    <xf numFmtId="10" fontId="7" fillId="0" borderId="26" xfId="118" applyNumberFormat="1" applyFont="1" applyBorder="1" applyAlignment="1" applyProtection="1">
      <alignment horizontal="right" vertical="center" wrapText="1"/>
      <protection locked="0"/>
    </xf>
    <xf numFmtId="10" fontId="7" fillId="0" borderId="21" xfId="118" applyNumberFormat="1" applyFont="1" applyBorder="1" applyAlignment="1" applyProtection="1">
      <alignment horizontal="right" vertical="center" wrapText="1"/>
      <protection locked="0"/>
    </xf>
    <xf numFmtId="10" fontId="7" fillId="0" borderId="24" xfId="118" applyNumberFormat="1" applyFont="1" applyBorder="1" applyAlignment="1" applyProtection="1">
      <alignment horizontal="right" vertical="center"/>
      <protection locked="0"/>
    </xf>
    <xf numFmtId="10" fontId="7" fillId="0" borderId="24" xfId="118" applyNumberFormat="1" applyFont="1" applyBorder="1" applyAlignment="1">
      <alignment horizontal="right" vertical="center"/>
    </xf>
    <xf numFmtId="10" fontId="3" fillId="0" borderId="28" xfId="118" applyNumberFormat="1" applyFont="1" applyBorder="1" applyAlignment="1">
      <alignment horizontal="right" vertical="center"/>
    </xf>
    <xf numFmtId="10" fontId="7" fillId="0" borderId="19" xfId="118" applyNumberFormat="1" applyFont="1" applyBorder="1" applyAlignment="1" applyProtection="1">
      <alignment horizontal="right" vertical="center"/>
      <protection locked="0"/>
    </xf>
    <xf numFmtId="10" fontId="7" fillId="0" borderId="22" xfId="118" applyNumberFormat="1" applyFont="1" applyBorder="1" applyAlignment="1" applyProtection="1">
      <alignment horizontal="right" vertical="center"/>
      <protection locked="0"/>
    </xf>
    <xf numFmtId="10" fontId="7" fillId="0" borderId="26" xfId="118" applyNumberFormat="1" applyFont="1" applyBorder="1" applyAlignment="1" applyProtection="1">
      <alignment horizontal="right" vertical="center"/>
      <protection locked="0"/>
    </xf>
    <xf numFmtId="10" fontId="7" fillId="0" borderId="27" xfId="118" applyNumberFormat="1" applyFont="1" applyBorder="1" applyAlignment="1" applyProtection="1">
      <alignment horizontal="right" vertical="center"/>
      <protection locked="0"/>
    </xf>
    <xf numFmtId="10" fontId="7" fillId="0" borderId="26" xfId="118" applyNumberFormat="1" applyFont="1" applyBorder="1" applyAlignment="1">
      <alignment horizontal="right" vertical="center"/>
    </xf>
    <xf numFmtId="10" fontId="7" fillId="0" borderId="24" xfId="118" applyNumberFormat="1" applyFont="1" applyBorder="1" applyAlignment="1" applyProtection="1">
      <alignment vertical="center"/>
      <protection locked="0"/>
    </xf>
    <xf numFmtId="10" fontId="3" fillId="0" borderId="28" xfId="118" applyNumberFormat="1" applyFont="1" applyBorder="1" applyAlignment="1">
      <alignment vertical="center"/>
    </xf>
    <xf numFmtId="10" fontId="7" fillId="0" borderId="21" xfId="118" applyNumberFormat="1" applyFont="1" applyBorder="1" applyAlignment="1" applyProtection="1">
      <alignment vertical="center"/>
      <protection locked="0"/>
    </xf>
    <xf numFmtId="10" fontId="7" fillId="0" borderId="29" xfId="118" applyNumberFormat="1" applyFont="1" applyBorder="1" applyAlignment="1" applyProtection="1">
      <alignment vertical="center"/>
      <protection locked="0"/>
    </xf>
    <xf numFmtId="10" fontId="7" fillId="0" borderId="27" xfId="118" applyNumberFormat="1" applyFont="1" applyBorder="1" applyAlignment="1" applyProtection="1">
      <alignment vertical="center"/>
      <protection locked="0"/>
    </xf>
    <xf numFmtId="10" fontId="7" fillId="0" borderId="22" xfId="118" applyNumberFormat="1" applyFont="1" applyBorder="1" applyAlignment="1" applyProtection="1">
      <alignment vertical="center"/>
      <protection locked="0"/>
    </xf>
    <xf numFmtId="10" fontId="2" fillId="0" borderId="28" xfId="118" applyNumberFormat="1" applyFont="1" applyBorder="1" applyAlignment="1">
      <alignment vertical="center"/>
    </xf>
    <xf numFmtId="10" fontId="4" fillId="0" borderId="28" xfId="118" applyNumberFormat="1" applyFont="1" applyBorder="1" applyAlignment="1">
      <alignment vertical="center"/>
    </xf>
    <xf numFmtId="10" fontId="11" fillId="0" borderId="19" xfId="118" applyNumberFormat="1" applyFont="1" applyBorder="1" applyAlignment="1">
      <alignment vertical="center"/>
    </xf>
    <xf numFmtId="10" fontId="11" fillId="0" borderId="22" xfId="118" applyNumberFormat="1" applyFont="1" applyBorder="1" applyAlignment="1">
      <alignment vertical="center"/>
    </xf>
    <xf numFmtId="10" fontId="11" fillId="0" borderId="30" xfId="118" applyNumberFormat="1" applyFont="1" applyBorder="1" applyAlignment="1">
      <alignment vertical="center"/>
    </xf>
    <xf numFmtId="10" fontId="17" fillId="0" borderId="40" xfId="118" applyNumberFormat="1" applyFont="1" applyBorder="1" applyAlignment="1">
      <alignment vertical="center"/>
    </xf>
    <xf numFmtId="10" fontId="11" fillId="0" borderId="27" xfId="118" applyNumberFormat="1" applyFont="1" applyBorder="1" applyAlignment="1">
      <alignment vertical="center"/>
    </xf>
    <xf numFmtId="10" fontId="17" fillId="0" borderId="30" xfId="118" applyNumberFormat="1" applyFont="1" applyBorder="1" applyAlignment="1">
      <alignment vertical="center"/>
    </xf>
    <xf numFmtId="10" fontId="13" fillId="0" borderId="40" xfId="118" applyNumberFormat="1" applyFont="1" applyBorder="1" applyAlignment="1">
      <alignment vertical="center"/>
    </xf>
    <xf numFmtId="10" fontId="17" fillId="0" borderId="44" xfId="118" applyNumberFormat="1" applyFont="1" applyBorder="1" applyAlignment="1">
      <alignment vertical="center"/>
    </xf>
    <xf numFmtId="10" fontId="38" fillId="0" borderId="44" xfId="118" applyNumberFormat="1" applyFont="1" applyBorder="1" applyAlignment="1">
      <alignment vertical="center"/>
    </xf>
    <xf numFmtId="10" fontId="11" fillId="0" borderId="40" xfId="118" applyNumberFormat="1" applyFont="1" applyBorder="1" applyAlignment="1">
      <alignment vertical="center"/>
    </xf>
    <xf numFmtId="10" fontId="38" fillId="0" borderId="40" xfId="118" applyNumberFormat="1" applyFont="1" applyBorder="1" applyAlignment="1">
      <alignment vertical="center"/>
    </xf>
    <xf numFmtId="10" fontId="11" fillId="0" borderId="23" xfId="118" applyNumberFormat="1" applyFont="1" applyBorder="1" applyAlignment="1">
      <alignment vertical="center"/>
    </xf>
    <xf numFmtId="10" fontId="11" fillId="0" borderId="44" xfId="118" applyNumberFormat="1" applyFont="1" applyBorder="1" applyAlignment="1">
      <alignment vertical="center"/>
    </xf>
    <xf numFmtId="10" fontId="13" fillId="0" borderId="27" xfId="118" applyNumberFormat="1" applyFont="1" applyBorder="1" applyAlignment="1">
      <alignment vertical="center"/>
    </xf>
    <xf numFmtId="10" fontId="11" fillId="0" borderId="34" xfId="118" applyNumberFormat="1" applyFont="1" applyBorder="1" applyAlignment="1">
      <alignment vertical="center"/>
    </xf>
    <xf numFmtId="10" fontId="13" fillId="0" borderId="30" xfId="118" applyNumberFormat="1" applyFont="1" applyBorder="1" applyAlignment="1">
      <alignment vertical="center"/>
    </xf>
    <xf numFmtId="10" fontId="7" fillId="0" borderId="19" xfId="118" applyNumberFormat="1" applyFont="1" applyBorder="1" applyAlignment="1">
      <alignment horizontal="right" vertical="center"/>
    </xf>
    <xf numFmtId="10" fontId="7" fillId="0" borderId="27" xfId="118" applyNumberFormat="1" applyFont="1" applyBorder="1" applyAlignment="1">
      <alignment horizontal="right" vertical="center"/>
    </xf>
    <xf numFmtId="10" fontId="7" fillId="0" borderId="22" xfId="118" applyNumberFormat="1" applyFont="1" applyBorder="1" applyAlignment="1">
      <alignment horizontal="right" vertical="center"/>
    </xf>
    <xf numFmtId="10" fontId="3" fillId="0" borderId="40" xfId="118" applyNumberFormat="1" applyFont="1" applyBorder="1" applyAlignment="1">
      <alignment vertical="center"/>
    </xf>
    <xf numFmtId="3" fontId="76" fillId="0" borderId="22" xfId="106" applyNumberFormat="1" applyFont="1" applyFill="1" applyBorder="1" applyAlignment="1">
      <alignment vertical="top"/>
      <protection/>
    </xf>
    <xf numFmtId="10" fontId="76" fillId="0" borderId="19" xfId="118" applyNumberFormat="1" applyFont="1" applyBorder="1" applyAlignment="1">
      <alignment vertical="top"/>
    </xf>
    <xf numFmtId="10" fontId="76" fillId="0" borderId="22" xfId="118" applyNumberFormat="1" applyFont="1" applyBorder="1" applyAlignment="1">
      <alignment vertical="top"/>
    </xf>
    <xf numFmtId="10" fontId="76" fillId="0" borderId="22" xfId="118" applyNumberFormat="1" applyFont="1" applyBorder="1" applyAlignment="1">
      <alignment/>
    </xf>
    <xf numFmtId="10" fontId="76" fillId="0" borderId="30" xfId="118" applyNumberFormat="1" applyFont="1" applyBorder="1" applyAlignment="1">
      <alignment/>
    </xf>
    <xf numFmtId="10" fontId="76" fillId="0" borderId="23" xfId="118" applyNumberFormat="1" applyFont="1" applyBorder="1" applyAlignment="1">
      <alignment/>
    </xf>
    <xf numFmtId="10" fontId="77" fillId="0" borderId="40" xfId="118" applyNumberFormat="1" applyFont="1" applyBorder="1" applyAlignment="1">
      <alignment vertical="center"/>
    </xf>
    <xf numFmtId="10" fontId="32" fillId="0" borderId="24" xfId="118" applyNumberFormat="1" applyFont="1" applyBorder="1" applyAlignment="1">
      <alignment horizontal="right" vertical="center" wrapText="1"/>
    </xf>
    <xf numFmtId="10" fontId="32" fillId="0" borderId="24" xfId="118" applyNumberFormat="1" applyFont="1" applyBorder="1" applyAlignment="1">
      <alignment vertical="center"/>
    </xf>
    <xf numFmtId="10" fontId="32" fillId="0" borderId="96" xfId="118" applyNumberFormat="1" applyFont="1" applyBorder="1" applyAlignment="1">
      <alignment vertical="center"/>
    </xf>
    <xf numFmtId="10" fontId="32" fillId="0" borderId="29" xfId="118" applyNumberFormat="1" applyFont="1" applyBorder="1" applyAlignment="1">
      <alignment vertical="center"/>
    </xf>
    <xf numFmtId="10" fontId="38" fillId="50" borderId="84" xfId="118" applyNumberFormat="1" applyFont="1" applyFill="1" applyBorder="1" applyAlignment="1">
      <alignment horizontal="right" vertical="center" wrapText="1"/>
    </xf>
    <xf numFmtId="10" fontId="41" fillId="0" borderId="24" xfId="118" applyNumberFormat="1" applyFont="1" applyBorder="1" applyAlignment="1">
      <alignment horizontal="right"/>
    </xf>
    <xf numFmtId="10" fontId="41" fillId="0" borderId="29" xfId="118" applyNumberFormat="1" applyFont="1" applyBorder="1" applyAlignment="1">
      <alignment horizontal="right"/>
    </xf>
    <xf numFmtId="10" fontId="18" fillId="0" borderId="26" xfId="118" applyNumberFormat="1" applyFont="1" applyBorder="1" applyAlignment="1">
      <alignment horizontal="right"/>
    </xf>
    <xf numFmtId="10" fontId="41" fillId="0" borderId="66" xfId="118" applyNumberFormat="1" applyFont="1" applyBorder="1" applyAlignment="1">
      <alignment horizontal="right"/>
    </xf>
    <xf numFmtId="10" fontId="41" fillId="0" borderId="62" xfId="118" applyNumberFormat="1" applyFont="1" applyBorder="1" applyAlignment="1">
      <alignment horizontal="right"/>
    </xf>
    <xf numFmtId="10" fontId="30" fillId="0" borderId="43" xfId="118" applyNumberFormat="1" applyFont="1" applyBorder="1" applyAlignment="1" applyProtection="1">
      <alignment vertical="center"/>
      <protection locked="0"/>
    </xf>
    <xf numFmtId="10" fontId="30" fillId="0" borderId="57" xfId="118" applyNumberFormat="1" applyFont="1" applyBorder="1" applyAlignment="1" applyProtection="1">
      <alignment vertical="center"/>
      <protection locked="0"/>
    </xf>
    <xf numFmtId="10" fontId="30" fillId="0" borderId="25" xfId="118" applyNumberFormat="1" applyFont="1" applyBorder="1" applyAlignment="1" applyProtection="1">
      <alignment vertical="center"/>
      <protection locked="0"/>
    </xf>
    <xf numFmtId="10" fontId="30" fillId="0" borderId="59" xfId="118" applyNumberFormat="1" applyFont="1" applyBorder="1" applyAlignment="1" applyProtection="1">
      <alignment vertical="center"/>
      <protection locked="0"/>
    </xf>
    <xf numFmtId="10" fontId="46" fillId="0" borderId="41" xfId="118" applyNumberFormat="1" applyFont="1" applyBorder="1" applyAlignment="1">
      <alignment vertical="center"/>
    </xf>
    <xf numFmtId="3" fontId="30" fillId="0" borderId="0" xfId="107" applyNumberFormat="1" applyAlignment="1" applyProtection="1">
      <alignment vertical="center" wrapText="1"/>
      <protection locked="0"/>
    </xf>
    <xf numFmtId="3" fontId="29" fillId="0" borderId="0" xfId="107" applyNumberFormat="1" applyFont="1" applyAlignment="1">
      <alignment vertical="center" wrapText="1"/>
      <protection/>
    </xf>
    <xf numFmtId="0" fontId="46" fillId="0" borderId="29" xfId="107" applyFont="1" applyFill="1" applyBorder="1" applyAlignment="1">
      <alignment horizontal="center" vertical="center" wrapText="1"/>
      <protection/>
    </xf>
    <xf numFmtId="0" fontId="30" fillId="0" borderId="40" xfId="107" applyFill="1" applyBorder="1" applyAlignment="1">
      <alignment horizontal="center" vertical="center"/>
      <protection/>
    </xf>
    <xf numFmtId="0" fontId="30" fillId="0" borderId="28" xfId="107" applyFill="1" applyBorder="1" applyAlignment="1">
      <alignment horizontal="center" vertical="center" wrapText="1"/>
      <protection/>
    </xf>
    <xf numFmtId="0" fontId="30" fillId="0" borderId="28" xfId="107" applyFill="1" applyBorder="1" applyAlignment="1">
      <alignment horizontal="center" vertical="center"/>
      <protection/>
    </xf>
    <xf numFmtId="0" fontId="30" fillId="0" borderId="41" xfId="107" applyFill="1" applyBorder="1" applyAlignment="1">
      <alignment horizontal="center" vertical="center"/>
      <protection/>
    </xf>
    <xf numFmtId="0" fontId="30" fillId="0" borderId="19" xfId="107" applyFill="1" applyBorder="1" applyAlignment="1">
      <alignment horizontal="center" vertical="center"/>
      <protection/>
    </xf>
    <xf numFmtId="0" fontId="14" fillId="0" borderId="20" xfId="0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horizontal="right" vertical="center"/>
    </xf>
    <xf numFmtId="168" fontId="30" fillId="0" borderId="43" xfId="74" applyNumberFormat="1" applyFont="1" applyFill="1" applyBorder="1" applyAlignment="1" applyProtection="1">
      <alignment horizontal="right" vertical="center"/>
      <protection locked="0"/>
    </xf>
    <xf numFmtId="0" fontId="30" fillId="0" borderId="22" xfId="107" applyFill="1" applyBorder="1" applyAlignment="1">
      <alignment horizontal="center" vertical="center"/>
      <protection/>
    </xf>
    <xf numFmtId="0" fontId="14" fillId="0" borderId="97" xfId="0" applyFont="1" applyFill="1" applyBorder="1" applyAlignment="1">
      <alignment vertical="center"/>
    </xf>
    <xf numFmtId="3" fontId="15" fillId="0" borderId="24" xfId="104" applyNumberFormat="1" applyFont="1" applyFill="1" applyBorder="1" applyAlignment="1">
      <alignment horizontal="right" vertical="center"/>
      <protection/>
    </xf>
    <xf numFmtId="168" fontId="30" fillId="0" borderId="24" xfId="74" applyNumberFormat="1" applyFont="1" applyFill="1" applyBorder="1" applyAlignment="1" applyProtection="1">
      <alignment horizontal="right" vertical="center"/>
      <protection locked="0"/>
    </xf>
    <xf numFmtId="168" fontId="30" fillId="0" borderId="25" xfId="74" applyNumberFormat="1" applyFont="1" applyFill="1" applyBorder="1" applyAlignment="1" applyProtection="1">
      <alignment horizontal="right" vertical="center"/>
      <protection locked="0"/>
    </xf>
    <xf numFmtId="0" fontId="32" fillId="0" borderId="24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 wrapText="1"/>
    </xf>
    <xf numFmtId="0" fontId="30" fillId="0" borderId="30" xfId="107" applyFill="1" applyBorder="1" applyAlignment="1">
      <alignment horizontal="center" vertical="center"/>
      <protection/>
    </xf>
    <xf numFmtId="0" fontId="30" fillId="0" borderId="29" xfId="107" applyFill="1" applyBorder="1" applyAlignment="1" applyProtection="1">
      <alignment vertical="center" wrapText="1"/>
      <protection locked="0"/>
    </xf>
    <xf numFmtId="168" fontId="30" fillId="0" borderId="29" xfId="74" applyNumberFormat="1" applyFont="1" applyFill="1" applyBorder="1" applyAlignment="1" applyProtection="1">
      <alignment horizontal="right" vertical="center"/>
      <protection locked="0"/>
    </xf>
    <xf numFmtId="168" fontId="30" fillId="0" borderId="59" xfId="74" applyNumberFormat="1" applyFont="1" applyFill="1" applyBorder="1" applyAlignment="1" applyProtection="1">
      <alignment horizontal="right" vertical="center"/>
      <protection locked="0"/>
    </xf>
    <xf numFmtId="0" fontId="46" fillId="0" borderId="28" xfId="107" applyFont="1" applyFill="1" applyBorder="1" applyAlignment="1">
      <alignment vertical="center" wrapText="1"/>
      <protection/>
    </xf>
    <xf numFmtId="168" fontId="30" fillId="0" borderId="28" xfId="107" applyNumberFormat="1" applyFill="1" applyBorder="1" applyAlignment="1">
      <alignment horizontal="right" vertical="center"/>
      <protection/>
    </xf>
    <xf numFmtId="168" fontId="30" fillId="0" borderId="41" xfId="107" applyNumberFormat="1" applyFill="1" applyBorder="1" applyAlignment="1">
      <alignment horizontal="right" vertical="center"/>
      <protection/>
    </xf>
    <xf numFmtId="0" fontId="50" fillId="0" borderId="28" xfId="102" applyFont="1" applyFill="1" applyBorder="1" applyAlignment="1" applyProtection="1">
      <alignment horizontal="center" vertical="center" wrapText="1"/>
      <protection/>
    </xf>
    <xf numFmtId="0" fontId="76" fillId="0" borderId="0" xfId="109" applyFill="1" applyProtection="1">
      <alignment/>
      <protection/>
    </xf>
    <xf numFmtId="0" fontId="0" fillId="52" borderId="0" xfId="95" applyFill="1">
      <alignment/>
      <protection/>
    </xf>
    <xf numFmtId="0" fontId="28" fillId="52" borderId="19" xfId="95" applyFont="1" applyFill="1" applyBorder="1" applyAlignment="1">
      <alignment horizontal="center" vertical="center"/>
      <protection/>
    </xf>
    <xf numFmtId="0" fontId="0" fillId="52" borderId="22" xfId="95" applyFont="1" applyFill="1" applyBorder="1" applyAlignment="1">
      <alignment vertical="center"/>
      <protection/>
    </xf>
    <xf numFmtId="0" fontId="111" fillId="0" borderId="0" xfId="109" applyFont="1" applyFill="1" applyProtection="1">
      <alignment/>
      <protection/>
    </xf>
    <xf numFmtId="0" fontId="0" fillId="0" borderId="0" xfId="101" applyFill="1">
      <alignment/>
      <protection/>
    </xf>
    <xf numFmtId="0" fontId="0" fillId="0" borderId="0" xfId="101">
      <alignment/>
      <protection/>
    </xf>
    <xf numFmtId="0" fontId="27" fillId="0" borderId="0" xfId="101" applyFont="1" applyFill="1" applyAlignment="1">
      <alignment horizontal="center"/>
      <protection/>
    </xf>
    <xf numFmtId="0" fontId="44" fillId="0" borderId="0" xfId="101" applyFont="1" applyFill="1" applyAlignment="1">
      <alignment horizontal="right"/>
      <protection/>
    </xf>
    <xf numFmtId="0" fontId="1" fillId="0" borderId="0" xfId="103">
      <alignment/>
      <protection/>
    </xf>
    <xf numFmtId="0" fontId="1" fillId="0" borderId="0" xfId="103" applyAlignment="1">
      <alignment wrapText="1"/>
      <protection/>
    </xf>
    <xf numFmtId="0" fontId="113" fillId="0" borderId="0" xfId="103" applyFont="1" applyAlignment="1">
      <alignment horizontal="right"/>
      <protection/>
    </xf>
    <xf numFmtId="0" fontId="86" fillId="0" borderId="0" xfId="103" applyFont="1" applyAlignment="1">
      <alignment horizontal="center"/>
      <protection/>
    </xf>
    <xf numFmtId="167" fontId="1" fillId="0" borderId="0" xfId="103" applyNumberFormat="1" applyAlignment="1">
      <alignment vertical="center" wrapText="1"/>
      <protection/>
    </xf>
    <xf numFmtId="167" fontId="27" fillId="0" borderId="20" xfId="103" applyNumberFormat="1" applyFont="1" applyBorder="1" applyAlignment="1">
      <alignment horizontal="center"/>
      <protection/>
    </xf>
    <xf numFmtId="167" fontId="27" fillId="0" borderId="20" xfId="103" applyNumberFormat="1" applyFont="1" applyBorder="1" applyAlignment="1">
      <alignment horizontal="center" wrapText="1"/>
      <protection/>
    </xf>
    <xf numFmtId="167" fontId="27" fillId="0" borderId="45" xfId="103" applyNumberFormat="1" applyFont="1" applyBorder="1" applyAlignment="1">
      <alignment horizontal="center" vertical="center" wrapText="1"/>
      <protection/>
    </xf>
    <xf numFmtId="167" fontId="27" fillId="0" borderId="45" xfId="103" applyNumberFormat="1" applyFont="1" applyBorder="1" applyAlignment="1">
      <alignment horizontal="center" vertical="center"/>
      <protection/>
    </xf>
    <xf numFmtId="167" fontId="28" fillId="0" borderId="31" xfId="103" applyNumberFormat="1" applyFont="1" applyBorder="1" applyAlignment="1">
      <alignment horizontal="center" vertical="center" wrapText="1"/>
      <protection/>
    </xf>
    <xf numFmtId="167" fontId="27" fillId="0" borderId="28" xfId="103" applyNumberFormat="1" applyFont="1" applyBorder="1" applyAlignment="1">
      <alignment vertical="center" wrapText="1"/>
      <protection/>
    </xf>
    <xf numFmtId="167" fontId="1" fillId="53" borderId="28" xfId="103" applyNumberFormat="1" applyFill="1" applyBorder="1" applyAlignment="1">
      <alignment vertical="center" wrapText="1"/>
      <protection/>
    </xf>
    <xf numFmtId="167" fontId="1" fillId="0" borderId="41" xfId="103" applyNumberFormat="1" applyBorder="1" applyAlignment="1">
      <alignment vertical="center" wrapText="1"/>
      <protection/>
    </xf>
    <xf numFmtId="167" fontId="28" fillId="0" borderId="32" xfId="103" applyNumberFormat="1" applyFont="1" applyBorder="1" applyAlignment="1">
      <alignment horizontal="center" vertical="center" wrapText="1"/>
      <protection/>
    </xf>
    <xf numFmtId="167" fontId="29" fillId="0" borderId="28" xfId="103" applyNumberFormat="1" applyFont="1" applyBorder="1" applyAlignment="1" applyProtection="1">
      <alignment vertical="center" wrapText="1"/>
      <protection locked="0"/>
    </xf>
    <xf numFmtId="0" fontId="66" fillId="0" borderId="28" xfId="103" applyFont="1" applyBorder="1" applyAlignment="1">
      <alignment horizontal="center" vertical="center" wrapText="1"/>
      <protection/>
    </xf>
    <xf numFmtId="169" fontId="1" fillId="0" borderId="28" xfId="103" applyNumberFormat="1" applyBorder="1" applyAlignment="1" applyProtection="1">
      <alignment vertical="center" wrapText="1"/>
      <protection locked="0"/>
    </xf>
    <xf numFmtId="167" fontId="1" fillId="0" borderId="25" xfId="103" applyNumberFormat="1" applyBorder="1" applyAlignment="1" applyProtection="1">
      <alignment vertical="center" wrapText="1"/>
      <protection locked="0"/>
    </xf>
    <xf numFmtId="3" fontId="6" fillId="0" borderId="41" xfId="103" applyNumberFormat="1" applyFont="1" applyBorder="1" applyAlignment="1">
      <alignment vertical="center" wrapText="1"/>
      <protection/>
    </xf>
    <xf numFmtId="167" fontId="28" fillId="0" borderId="19" xfId="103" applyNumberFormat="1" applyFont="1" applyBorder="1" applyAlignment="1">
      <alignment horizontal="center" vertical="center" wrapText="1"/>
      <protection/>
    </xf>
    <xf numFmtId="167" fontId="29" fillId="0" borderId="24" xfId="103" applyNumberFormat="1" applyFont="1" applyBorder="1" applyAlignment="1" applyProtection="1">
      <alignment vertical="center" wrapText="1"/>
      <protection locked="0"/>
    </xf>
    <xf numFmtId="14" fontId="1" fillId="0" borderId="24" xfId="103" applyNumberFormat="1" applyFont="1" applyBorder="1" applyAlignment="1" applyProtection="1">
      <alignment vertical="center" wrapText="1"/>
      <protection locked="0"/>
    </xf>
    <xf numFmtId="167" fontId="28" fillId="0" borderId="34" xfId="103" applyNumberFormat="1" applyFont="1" applyBorder="1" applyAlignment="1">
      <alignment horizontal="center" vertical="center" wrapText="1"/>
      <protection/>
    </xf>
    <xf numFmtId="3" fontId="1" fillId="0" borderId="25" xfId="103" applyNumberFormat="1" applyBorder="1" applyAlignment="1" applyProtection="1">
      <alignment vertical="center" wrapText="1"/>
      <protection locked="0"/>
    </xf>
    <xf numFmtId="14" fontId="1" fillId="0" borderId="29" xfId="103" applyNumberFormat="1" applyBorder="1" applyAlignment="1" applyProtection="1">
      <alignment vertical="center" wrapText="1"/>
      <protection locked="0"/>
    </xf>
    <xf numFmtId="3" fontId="1" fillId="0" borderId="59" xfId="103" applyNumberFormat="1" applyBorder="1" applyAlignment="1" applyProtection="1">
      <alignment vertical="center" wrapText="1"/>
      <protection locked="0"/>
    </xf>
    <xf numFmtId="167" fontId="28" fillId="0" borderId="63" xfId="103" applyNumberFormat="1" applyFont="1" applyBorder="1" applyAlignment="1">
      <alignment horizontal="center" vertical="center" wrapText="1"/>
      <protection/>
    </xf>
    <xf numFmtId="167" fontId="29" fillId="0" borderId="51" xfId="103" applyNumberFormat="1" applyFont="1" applyBorder="1" applyAlignment="1" applyProtection="1">
      <alignment vertical="center" wrapText="1"/>
      <protection locked="0"/>
    </xf>
    <xf numFmtId="14" fontId="1" fillId="0" borderId="26" xfId="103" applyNumberFormat="1" applyBorder="1" applyAlignment="1" applyProtection="1">
      <alignment vertical="center" wrapText="1"/>
      <protection locked="0"/>
    </xf>
    <xf numFmtId="3" fontId="1" fillId="0" borderId="48" xfId="103" applyNumberFormat="1" applyBorder="1" applyAlignment="1" applyProtection="1">
      <alignment vertical="center" wrapText="1"/>
      <protection locked="0"/>
    </xf>
    <xf numFmtId="167" fontId="46" fillId="0" borderId="28" xfId="103" applyNumberFormat="1" applyFont="1" applyBorder="1" applyAlignment="1">
      <alignment vertical="center" wrapText="1"/>
      <protection/>
    </xf>
    <xf numFmtId="0" fontId="19" fillId="0" borderId="0" xfId="100">
      <alignment/>
      <protection/>
    </xf>
    <xf numFmtId="0" fontId="71" fillId="0" borderId="0" xfId="109" applyFont="1" applyFill="1" applyAlignment="1" applyProtection="1">
      <alignment horizontal="center"/>
      <protection/>
    </xf>
    <xf numFmtId="0" fontId="19" fillId="0" borderId="0" xfId="100" applyFont="1">
      <alignment/>
      <protection/>
    </xf>
    <xf numFmtId="0" fontId="115" fillId="0" borderId="98" xfId="109" applyFont="1" applyFill="1" applyBorder="1" applyAlignment="1" applyProtection="1">
      <alignment horizontal="center" vertical="center" wrapText="1"/>
      <protection/>
    </xf>
    <xf numFmtId="0" fontId="115" fillId="0" borderId="99" xfId="109" applyFont="1" applyFill="1" applyBorder="1" applyAlignment="1" applyProtection="1">
      <alignment horizontal="center" vertical="center" wrapText="1"/>
      <protection/>
    </xf>
    <xf numFmtId="0" fontId="76" fillId="0" borderId="0" xfId="109" applyFill="1" applyAlignment="1" applyProtection="1">
      <alignment horizontal="center" vertical="center"/>
      <protection/>
    </xf>
    <xf numFmtId="0" fontId="114" fillId="0" borderId="100" xfId="109" applyFont="1" applyFill="1" applyBorder="1" applyAlignment="1" applyProtection="1">
      <alignment vertical="center" wrapText="1"/>
      <protection/>
    </xf>
    <xf numFmtId="179" fontId="28" fillId="0" borderId="101" xfId="108" applyNumberFormat="1" applyFont="1" applyFill="1" applyBorder="1" applyAlignment="1" applyProtection="1">
      <alignment horizontal="center" vertical="center"/>
      <protection/>
    </xf>
    <xf numFmtId="180" fontId="114" fillId="0" borderId="101" xfId="109" applyNumberFormat="1" applyFont="1" applyFill="1" applyBorder="1" applyAlignment="1" applyProtection="1">
      <alignment horizontal="right" vertical="center" wrapText="1"/>
      <protection locked="0"/>
    </xf>
    <xf numFmtId="0" fontId="76" fillId="0" borderId="0" xfId="109" applyFill="1" applyAlignment="1" applyProtection="1">
      <alignment vertical="center"/>
      <protection/>
    </xf>
    <xf numFmtId="0" fontId="116" fillId="0" borderId="102" xfId="109" applyFont="1" applyFill="1" applyBorder="1" applyAlignment="1" applyProtection="1">
      <alignment horizontal="left" vertical="center" wrapText="1" indent="1"/>
      <protection/>
    </xf>
    <xf numFmtId="179" fontId="59" fillId="0" borderId="103" xfId="108" applyNumberFormat="1" applyFont="1" applyFill="1" applyBorder="1" applyAlignment="1" applyProtection="1">
      <alignment horizontal="center" vertical="center"/>
      <protection/>
    </xf>
    <xf numFmtId="180" fontId="71" fillId="0" borderId="103" xfId="109" applyNumberFormat="1" applyFont="1" applyFill="1" applyBorder="1" applyAlignment="1" applyProtection="1">
      <alignment horizontal="right" vertical="center" wrapText="1"/>
      <protection locked="0"/>
    </xf>
    <xf numFmtId="0" fontId="114" fillId="0" borderId="102" xfId="109" applyFont="1" applyFill="1" applyBorder="1" applyAlignment="1" applyProtection="1">
      <alignment vertical="center" wrapText="1"/>
      <protection/>
    </xf>
    <xf numFmtId="179" fontId="28" fillId="0" borderId="103" xfId="108" applyNumberFormat="1" applyFont="1" applyFill="1" applyBorder="1" applyAlignment="1" applyProtection="1">
      <alignment horizontal="center" vertical="center"/>
      <protection/>
    </xf>
    <xf numFmtId="180" fontId="114" fillId="0" borderId="103" xfId="109" applyNumberFormat="1" applyFont="1" applyFill="1" applyBorder="1" applyAlignment="1" applyProtection="1">
      <alignment horizontal="right" vertical="center" wrapText="1"/>
      <protection/>
    </xf>
    <xf numFmtId="180" fontId="114" fillId="0" borderId="103" xfId="109" applyNumberFormat="1" applyFont="1" applyFill="1" applyBorder="1" applyAlignment="1" applyProtection="1">
      <alignment horizontal="right" vertical="center" wrapText="1"/>
      <protection/>
    </xf>
    <xf numFmtId="180" fontId="71" fillId="0" borderId="103" xfId="109" applyNumberFormat="1" applyFont="1" applyFill="1" applyBorder="1" applyAlignment="1" applyProtection="1">
      <alignment horizontal="right" vertical="center" wrapText="1"/>
      <protection/>
    </xf>
    <xf numFmtId="180" fontId="114" fillId="0" borderId="103" xfId="109" applyNumberFormat="1" applyFont="1" applyFill="1" applyBorder="1" applyAlignment="1" applyProtection="1">
      <alignment horizontal="right" vertical="center" wrapText="1"/>
      <protection locked="0"/>
    </xf>
    <xf numFmtId="180" fontId="114" fillId="54" borderId="103" xfId="109" applyNumberFormat="1" applyFont="1" applyFill="1" applyBorder="1" applyAlignment="1" applyProtection="1">
      <alignment horizontal="right" vertical="center" wrapText="1"/>
      <protection locked="0"/>
    </xf>
    <xf numFmtId="180" fontId="114" fillId="54" borderId="103" xfId="109" applyNumberFormat="1" applyFont="1" applyFill="1" applyBorder="1" applyAlignment="1" applyProtection="1">
      <alignment horizontal="right" vertical="center" wrapText="1"/>
      <protection/>
    </xf>
    <xf numFmtId="0" fontId="114" fillId="0" borderId="98" xfId="109" applyFont="1" applyFill="1" applyBorder="1" applyAlignment="1" applyProtection="1">
      <alignment vertical="center" wrapText="1"/>
      <protection/>
    </xf>
    <xf numFmtId="180" fontId="114" fillId="0" borderId="99" xfId="109" applyNumberFormat="1" applyFont="1" applyFill="1" applyBorder="1" applyAlignment="1" applyProtection="1">
      <alignment horizontal="right" vertical="center" wrapText="1"/>
      <protection/>
    </xf>
    <xf numFmtId="0" fontId="71" fillId="0" borderId="0" xfId="109" applyFont="1" applyFill="1" applyProtection="1">
      <alignment/>
      <protection/>
    </xf>
    <xf numFmtId="49" fontId="53" fillId="0" borderId="23" xfId="108" applyNumberFormat="1" applyFont="1" applyFill="1" applyBorder="1" applyAlignment="1" applyProtection="1">
      <alignment horizontal="center" vertical="center" wrapText="1"/>
      <protection/>
    </xf>
    <xf numFmtId="49" fontId="53" fillId="0" borderId="26" xfId="108" applyNumberFormat="1" applyFont="1" applyFill="1" applyBorder="1" applyAlignment="1" applyProtection="1">
      <alignment horizontal="center" vertical="center"/>
      <protection/>
    </xf>
    <xf numFmtId="49" fontId="53" fillId="0" borderId="48" xfId="108" applyNumberFormat="1" applyFont="1" applyFill="1" applyBorder="1" applyAlignment="1" applyProtection="1">
      <alignment horizontal="center" vertical="center"/>
      <protection/>
    </xf>
    <xf numFmtId="0" fontId="54" fillId="0" borderId="22" xfId="109" applyFont="1" applyFill="1" applyBorder="1" applyAlignment="1" applyProtection="1">
      <alignment vertical="center" wrapText="1"/>
      <protection/>
    </xf>
    <xf numFmtId="179" fontId="45" fillId="0" borderId="21" xfId="108" applyNumberFormat="1" applyFont="1" applyFill="1" applyBorder="1" applyAlignment="1" applyProtection="1">
      <alignment horizontal="center" vertical="center"/>
      <protection/>
    </xf>
    <xf numFmtId="181" fontId="45" fillId="0" borderId="57" xfId="108" applyNumberFormat="1" applyFont="1" applyFill="1" applyBorder="1" applyAlignment="1" applyProtection="1">
      <alignment vertical="center"/>
      <protection locked="0"/>
    </xf>
    <xf numFmtId="179" fontId="45" fillId="0" borderId="24" xfId="108" applyNumberFormat="1" applyFont="1" applyFill="1" applyBorder="1" applyAlignment="1" applyProtection="1">
      <alignment horizontal="center" vertical="center"/>
      <protection/>
    </xf>
    <xf numFmtId="181" fontId="45" fillId="0" borderId="25" xfId="108" applyNumberFormat="1" applyFont="1" applyFill="1" applyBorder="1" applyAlignment="1" applyProtection="1">
      <alignment vertical="center"/>
      <protection locked="0"/>
    </xf>
    <xf numFmtId="179" fontId="53" fillId="0" borderId="24" xfId="108" applyNumberFormat="1" applyFont="1" applyFill="1" applyBorder="1" applyAlignment="1" applyProtection="1">
      <alignment horizontal="center" vertical="center"/>
      <protection/>
    </xf>
    <xf numFmtId="181" fontId="53" fillId="0" borderId="25" xfId="108" applyNumberFormat="1" applyFont="1" applyFill="1" applyBorder="1" applyAlignment="1" applyProtection="1">
      <alignment vertical="center"/>
      <protection/>
    </xf>
    <xf numFmtId="181" fontId="45" fillId="0" borderId="25" xfId="108" applyNumberFormat="1" applyFont="1" applyFill="1" applyBorder="1" applyAlignment="1" applyProtection="1">
      <alignment vertical="center"/>
      <protection locked="0"/>
    </xf>
    <xf numFmtId="181" fontId="53" fillId="0" borderId="25" xfId="108" applyNumberFormat="1" applyFont="1" applyFill="1" applyBorder="1" applyAlignment="1" applyProtection="1">
      <alignment vertical="center"/>
      <protection locked="0"/>
    </xf>
    <xf numFmtId="0" fontId="53" fillId="0" borderId="23" xfId="108" applyFont="1" applyFill="1" applyBorder="1" applyAlignment="1" applyProtection="1">
      <alignment horizontal="left" vertical="center" wrapText="1"/>
      <protection/>
    </xf>
    <xf numFmtId="179" fontId="53" fillId="0" borderId="26" xfId="108" applyNumberFormat="1" applyFont="1" applyFill="1" applyBorder="1" applyAlignment="1" applyProtection="1">
      <alignment horizontal="center" vertical="center"/>
      <protection/>
    </xf>
    <xf numFmtId="181" fontId="53" fillId="0" borderId="48" xfId="108" applyNumberFormat="1" applyFont="1" applyFill="1" applyBorder="1" applyAlignment="1" applyProtection="1">
      <alignment vertical="center"/>
      <protection/>
    </xf>
    <xf numFmtId="0" fontId="76" fillId="0" borderId="0" xfId="109" applyFont="1" applyFill="1" applyAlignment="1" applyProtection="1">
      <alignment horizontal="center"/>
      <protection/>
    </xf>
    <xf numFmtId="0" fontId="26" fillId="0" borderId="0" xfId="100" applyFont="1">
      <alignment/>
      <protection/>
    </xf>
    <xf numFmtId="0" fontId="117" fillId="0" borderId="98" xfId="109" applyFont="1" applyFill="1" applyBorder="1" applyAlignment="1" applyProtection="1">
      <alignment horizontal="center" vertical="center" wrapText="1"/>
      <protection/>
    </xf>
    <xf numFmtId="0" fontId="117" fillId="0" borderId="99" xfId="109" applyFont="1" applyFill="1" applyBorder="1" applyAlignment="1" applyProtection="1">
      <alignment horizontal="center" vertical="center" wrapText="1"/>
      <protection/>
    </xf>
    <xf numFmtId="0" fontId="69" fillId="0" borderId="100" xfId="109" applyFont="1" applyFill="1" applyBorder="1" applyAlignment="1" applyProtection="1">
      <alignment vertical="center" wrapText="1"/>
      <protection/>
    </xf>
    <xf numFmtId="179" fontId="46" fillId="0" borderId="101" xfId="108" applyNumberFormat="1" applyFont="1" applyFill="1" applyBorder="1" applyAlignment="1" applyProtection="1">
      <alignment horizontal="center" vertical="center"/>
      <protection/>
    </xf>
    <xf numFmtId="180" fontId="69" fillId="0" borderId="101" xfId="109" applyNumberFormat="1" applyFont="1" applyFill="1" applyBorder="1" applyAlignment="1" applyProtection="1">
      <alignment horizontal="right" vertical="center" wrapText="1"/>
      <protection locked="0"/>
    </xf>
    <xf numFmtId="0" fontId="118" fillId="0" borderId="102" xfId="109" applyFont="1" applyFill="1" applyBorder="1" applyAlignment="1" applyProtection="1">
      <alignment horizontal="left" vertical="center" wrapText="1" indent="1"/>
      <protection/>
    </xf>
    <xf numFmtId="179" fontId="30" fillId="0" borderId="103" xfId="108" applyNumberFormat="1" applyFont="1" applyFill="1" applyBorder="1" applyAlignment="1" applyProtection="1">
      <alignment horizontal="center" vertical="center"/>
      <protection/>
    </xf>
    <xf numFmtId="180" fontId="76" fillId="0" borderId="103" xfId="109" applyNumberFormat="1" applyFont="1" applyFill="1" applyBorder="1" applyAlignment="1" applyProtection="1">
      <alignment horizontal="right" vertical="center" wrapText="1"/>
      <protection locked="0"/>
    </xf>
    <xf numFmtId="0" fontId="69" fillId="0" borderId="102" xfId="109" applyFont="1" applyFill="1" applyBorder="1" applyAlignment="1" applyProtection="1">
      <alignment vertical="center" wrapText="1"/>
      <protection/>
    </xf>
    <xf numFmtId="179" fontId="46" fillId="0" borderId="103" xfId="108" applyNumberFormat="1" applyFont="1" applyFill="1" applyBorder="1" applyAlignment="1" applyProtection="1">
      <alignment horizontal="center" vertical="center"/>
      <protection/>
    </xf>
    <xf numFmtId="180" fontId="69" fillId="0" borderId="103" xfId="109" applyNumberFormat="1" applyFont="1" applyFill="1" applyBorder="1" applyAlignment="1" applyProtection="1">
      <alignment horizontal="right" vertical="center" wrapText="1"/>
      <protection/>
    </xf>
    <xf numFmtId="180" fontId="69" fillId="0" borderId="103" xfId="109" applyNumberFormat="1" applyFont="1" applyFill="1" applyBorder="1" applyAlignment="1" applyProtection="1">
      <alignment horizontal="right" vertical="center" wrapText="1"/>
      <protection/>
    </xf>
    <xf numFmtId="180" fontId="76" fillId="0" borderId="103" xfId="109" applyNumberFormat="1" applyFont="1" applyFill="1" applyBorder="1" applyAlignment="1" applyProtection="1">
      <alignment horizontal="right" vertical="center" wrapText="1"/>
      <protection/>
    </xf>
    <xf numFmtId="180" fontId="69" fillId="0" borderId="103" xfId="109" applyNumberFormat="1" applyFont="1" applyFill="1" applyBorder="1" applyAlignment="1" applyProtection="1">
      <alignment horizontal="right" vertical="center" wrapText="1"/>
      <protection locked="0"/>
    </xf>
    <xf numFmtId="180" fontId="69" fillId="54" borderId="103" xfId="109" applyNumberFormat="1" applyFont="1" applyFill="1" applyBorder="1" applyAlignment="1" applyProtection="1">
      <alignment horizontal="right" vertical="center" wrapText="1"/>
      <protection locked="0"/>
    </xf>
    <xf numFmtId="180" fontId="69" fillId="54" borderId="103" xfId="109" applyNumberFormat="1" applyFont="1" applyFill="1" applyBorder="1" applyAlignment="1" applyProtection="1">
      <alignment horizontal="right" vertical="center" wrapText="1"/>
      <protection/>
    </xf>
    <xf numFmtId="0" fontId="69" fillId="0" borderId="98" xfId="109" applyFont="1" applyFill="1" applyBorder="1" applyAlignment="1" applyProtection="1">
      <alignment vertical="center" wrapText="1"/>
      <protection/>
    </xf>
    <xf numFmtId="180" fontId="69" fillId="0" borderId="99" xfId="109" applyNumberFormat="1" applyFont="1" applyFill="1" applyBorder="1" applyAlignment="1" applyProtection="1">
      <alignment horizontal="right" vertical="center" wrapText="1"/>
      <protection/>
    </xf>
    <xf numFmtId="0" fontId="76" fillId="0" borderId="0" xfId="109" applyFont="1" applyFill="1" applyProtection="1">
      <alignment/>
      <protection/>
    </xf>
    <xf numFmtId="0" fontId="76" fillId="0" borderId="0" xfId="109" applyFill="1">
      <alignment/>
      <protection/>
    </xf>
    <xf numFmtId="0" fontId="76" fillId="0" borderId="0" xfId="109" applyFont="1" applyFill="1" applyAlignment="1">
      <alignment horizontal="center"/>
      <protection/>
    </xf>
    <xf numFmtId="0" fontId="69" fillId="0" borderId="104" xfId="109" applyFont="1" applyFill="1" applyBorder="1" applyAlignment="1">
      <alignment horizontal="center" vertical="center"/>
      <protection/>
    </xf>
    <xf numFmtId="0" fontId="62" fillId="0" borderId="105" xfId="108" applyFont="1" applyFill="1" applyBorder="1" applyAlignment="1" applyProtection="1">
      <alignment horizontal="center" vertical="center" textRotation="90"/>
      <protection/>
    </xf>
    <xf numFmtId="0" fontId="69" fillId="0" borderId="105" xfId="109" applyFont="1" applyFill="1" applyBorder="1" applyAlignment="1">
      <alignment horizontal="center" vertical="center" wrapText="1"/>
      <protection/>
    </xf>
    <xf numFmtId="0" fontId="69" fillId="0" borderId="106" xfId="109" applyFont="1" applyFill="1" applyBorder="1" applyAlignment="1">
      <alignment horizontal="center" vertical="center" wrapText="1"/>
      <protection/>
    </xf>
    <xf numFmtId="0" fontId="69" fillId="0" borderId="107" xfId="109" applyFont="1" applyFill="1" applyBorder="1" applyAlignment="1">
      <alignment horizontal="center" vertical="center" wrapText="1"/>
      <protection/>
    </xf>
    <xf numFmtId="0" fontId="69" fillId="0" borderId="108" xfId="109" applyFont="1" applyFill="1" applyBorder="1" applyAlignment="1">
      <alignment horizontal="center" vertical="center"/>
      <protection/>
    </xf>
    <xf numFmtId="0" fontId="69" fillId="0" borderId="109" xfId="109" applyFont="1" applyFill="1" applyBorder="1" applyAlignment="1">
      <alignment horizontal="center" vertical="center" wrapText="1"/>
      <protection/>
    </xf>
    <xf numFmtId="0" fontId="69" fillId="0" borderId="110" xfId="109" applyFont="1" applyFill="1" applyBorder="1" applyAlignment="1">
      <alignment horizontal="center" vertical="center" wrapText="1"/>
      <protection/>
    </xf>
    <xf numFmtId="0" fontId="76" fillId="0" borderId="111" xfId="109" applyFont="1" applyFill="1" applyBorder="1">
      <alignment/>
      <protection/>
    </xf>
    <xf numFmtId="0" fontId="76" fillId="0" borderId="102" xfId="109" applyFont="1" applyFill="1" applyBorder="1" applyProtection="1">
      <alignment/>
      <protection locked="0"/>
    </xf>
    <xf numFmtId="0" fontId="76" fillId="0" borderId="112" xfId="109" applyFont="1" applyFill="1" applyBorder="1" applyAlignment="1">
      <alignment horizontal="right" indent="1"/>
      <protection/>
    </xf>
    <xf numFmtId="3" fontId="76" fillId="0" borderId="112" xfId="109" applyNumberFormat="1" applyFont="1" applyFill="1" applyBorder="1" applyProtection="1">
      <alignment/>
      <protection locked="0"/>
    </xf>
    <xf numFmtId="3" fontId="76" fillId="0" borderId="0" xfId="100" applyNumberFormat="1" applyFont="1">
      <alignment/>
      <protection/>
    </xf>
    <xf numFmtId="3" fontId="76" fillId="0" borderId="113" xfId="109" applyNumberFormat="1" applyFont="1" applyFill="1" applyBorder="1">
      <alignment/>
      <protection/>
    </xf>
    <xf numFmtId="0" fontId="76" fillId="0" borderId="103" xfId="109" applyFont="1" applyFill="1" applyBorder="1" applyAlignment="1">
      <alignment horizontal="center" indent="1"/>
      <protection/>
    </xf>
    <xf numFmtId="3" fontId="76" fillId="0" borderId="103" xfId="109" applyNumberFormat="1" applyFont="1" applyFill="1" applyBorder="1" applyProtection="1">
      <alignment/>
      <protection locked="0"/>
    </xf>
    <xf numFmtId="3" fontId="76" fillId="0" borderId="114" xfId="109" applyNumberFormat="1" applyFont="1" applyFill="1" applyBorder="1" applyProtection="1">
      <alignment/>
      <protection locked="0"/>
    </xf>
    <xf numFmtId="3" fontId="76" fillId="0" borderId="115" xfId="109" applyNumberFormat="1" applyFont="1" applyFill="1" applyBorder="1">
      <alignment/>
      <protection/>
    </xf>
    <xf numFmtId="0" fontId="76" fillId="0" borderId="112" xfId="109" applyFont="1" applyFill="1" applyBorder="1" applyAlignment="1">
      <alignment horizontal="center" indent="1"/>
      <protection/>
    </xf>
    <xf numFmtId="0" fontId="76" fillId="0" borderId="116" xfId="109" applyFont="1" applyFill="1" applyBorder="1" applyProtection="1">
      <alignment/>
      <protection locked="0"/>
    </xf>
    <xf numFmtId="0" fontId="76" fillId="0" borderId="117" xfId="109" applyFont="1" applyFill="1" applyBorder="1" applyAlignment="1">
      <alignment horizontal="right" indent="1"/>
      <protection/>
    </xf>
    <xf numFmtId="3" fontId="76" fillId="0" borderId="117" xfId="109" applyNumberFormat="1" applyFont="1" applyFill="1" applyBorder="1" applyProtection="1">
      <alignment/>
      <protection locked="0"/>
    </xf>
    <xf numFmtId="3" fontId="76" fillId="0" borderId="118" xfId="109" applyNumberFormat="1" applyFont="1" applyFill="1" applyBorder="1" applyProtection="1">
      <alignment/>
      <protection locked="0"/>
    </xf>
    <xf numFmtId="3" fontId="76" fillId="0" borderId="119" xfId="109" applyNumberFormat="1" applyFont="1" applyFill="1" applyBorder="1">
      <alignment/>
      <protection/>
    </xf>
    <xf numFmtId="0" fontId="69" fillId="0" borderId="108" xfId="109" applyFont="1" applyFill="1" applyBorder="1" applyProtection="1">
      <alignment/>
      <protection locked="0"/>
    </xf>
    <xf numFmtId="0" fontId="69" fillId="0" borderId="109" xfId="109" applyFont="1" applyFill="1" applyBorder="1" applyAlignment="1">
      <alignment horizontal="right" indent="1"/>
      <protection/>
    </xf>
    <xf numFmtId="3" fontId="69" fillId="0" borderId="109" xfId="109" applyNumberFormat="1" applyFont="1" applyFill="1" applyBorder="1" applyProtection="1">
      <alignment/>
      <protection locked="0"/>
    </xf>
    <xf numFmtId="3" fontId="69" fillId="0" borderId="111" xfId="109" applyNumberFormat="1" applyFont="1" applyFill="1" applyBorder="1">
      <alignment/>
      <protection/>
    </xf>
    <xf numFmtId="0" fontId="76" fillId="0" borderId="120" xfId="109" applyFont="1" applyFill="1" applyBorder="1" applyProtection="1">
      <alignment/>
      <protection locked="0"/>
    </xf>
    <xf numFmtId="3" fontId="76" fillId="0" borderId="121" xfId="109" applyNumberFormat="1" applyFont="1" applyFill="1" applyBorder="1" applyProtection="1">
      <alignment/>
      <protection locked="0"/>
    </xf>
    <xf numFmtId="0" fontId="76" fillId="0" borderId="103" xfId="109" applyFont="1" applyFill="1" applyBorder="1" applyAlignment="1">
      <alignment horizontal="right" indent="1"/>
      <protection/>
    </xf>
    <xf numFmtId="0" fontId="76" fillId="0" borderId="115" xfId="109" applyFont="1" applyFill="1" applyBorder="1">
      <alignment/>
      <protection/>
    </xf>
    <xf numFmtId="0" fontId="76" fillId="0" borderId="119" xfId="109" applyFont="1" applyFill="1" applyBorder="1">
      <alignment/>
      <protection/>
    </xf>
    <xf numFmtId="0" fontId="76" fillId="0" borderId="109" xfId="109" applyFont="1" applyFill="1" applyBorder="1" applyAlignment="1">
      <alignment horizontal="right" indent="1"/>
      <protection/>
    </xf>
    <xf numFmtId="3" fontId="76" fillId="0" borderId="109" xfId="109" applyNumberFormat="1" applyFont="1" applyFill="1" applyBorder="1" applyProtection="1">
      <alignment/>
      <protection locked="0"/>
    </xf>
    <xf numFmtId="182" fontId="46" fillId="0" borderId="110" xfId="108" applyNumberFormat="1" applyFont="1" applyFill="1" applyBorder="1" applyAlignment="1" applyProtection="1">
      <alignment vertical="center"/>
      <protection/>
    </xf>
    <xf numFmtId="0" fontId="76" fillId="0" borderId="113" xfId="109" applyFont="1" applyFill="1" applyBorder="1">
      <alignment/>
      <protection/>
    </xf>
    <xf numFmtId="3" fontId="76" fillId="0" borderId="122" xfId="109" applyNumberFormat="1" applyFont="1" applyFill="1" applyBorder="1">
      <alignment/>
      <protection/>
    </xf>
    <xf numFmtId="183" fontId="46" fillId="0" borderId="110" xfId="108" applyNumberFormat="1" applyFont="1" applyFill="1" applyBorder="1" applyAlignment="1" applyProtection="1">
      <alignment vertical="center"/>
      <protection/>
    </xf>
    <xf numFmtId="182" fontId="46" fillId="0" borderId="111" xfId="108" applyNumberFormat="1" applyFont="1" applyFill="1" applyBorder="1" applyAlignment="1" applyProtection="1">
      <alignment vertical="center"/>
      <protection/>
    </xf>
    <xf numFmtId="0" fontId="119" fillId="0" borderId="0" xfId="109" applyFont="1" applyFill="1">
      <alignment/>
      <protection/>
    </xf>
    <xf numFmtId="0" fontId="76" fillId="0" borderId="0" xfId="109" applyFont="1" applyFill="1">
      <alignment/>
      <protection/>
    </xf>
    <xf numFmtId="3" fontId="46" fillId="0" borderId="110" xfId="108" applyNumberFormat="1" applyFont="1" applyFill="1" applyBorder="1" applyAlignment="1" applyProtection="1">
      <alignment horizontal="right" vertical="center"/>
      <protection/>
    </xf>
    <xf numFmtId="167" fontId="27" fillId="0" borderId="0" xfId="107" applyNumberFormat="1" applyFont="1" applyFill="1" applyBorder="1" applyAlignment="1" applyProtection="1">
      <alignment horizontal="centerContinuous" vertical="center"/>
      <protection/>
    </xf>
    <xf numFmtId="0" fontId="46" fillId="0" borderId="43" xfId="107" applyFont="1" applyFill="1" applyBorder="1" applyAlignment="1" applyProtection="1">
      <alignment horizontal="center" vertical="center" wrapText="1"/>
      <protection/>
    </xf>
    <xf numFmtId="0" fontId="30" fillId="0" borderId="40" xfId="107" applyFont="1" applyFill="1" applyBorder="1" applyAlignment="1" applyProtection="1">
      <alignment horizontal="center" vertical="center"/>
      <protection/>
    </xf>
    <xf numFmtId="0" fontId="30" fillId="0" borderId="28" xfId="107" applyFont="1" applyFill="1" applyBorder="1" applyAlignment="1" applyProtection="1">
      <alignment horizontal="center" vertical="center"/>
      <protection/>
    </xf>
    <xf numFmtId="0" fontId="30" fillId="0" borderId="41" xfId="107" applyFont="1" applyFill="1" applyBorder="1" applyAlignment="1" applyProtection="1">
      <alignment horizontal="center" vertical="center"/>
      <protection/>
    </xf>
    <xf numFmtId="168" fontId="30" fillId="0" borderId="43" xfId="74" applyNumberFormat="1" applyFont="1" applyFill="1" applyBorder="1" applyAlignment="1" applyProtection="1">
      <alignment vertical="center"/>
      <protection locked="0"/>
    </xf>
    <xf numFmtId="168" fontId="30" fillId="0" borderId="57" xfId="74" applyNumberFormat="1" applyFont="1" applyFill="1" applyBorder="1" applyAlignment="1" applyProtection="1">
      <alignment vertical="center"/>
      <protection locked="0"/>
    </xf>
    <xf numFmtId="168" fontId="30" fillId="0" borderId="25" xfId="74" applyNumberFormat="1" applyFont="1" applyFill="1" applyBorder="1" applyAlignment="1" applyProtection="1">
      <alignment vertical="center"/>
      <protection locked="0"/>
    </xf>
    <xf numFmtId="168" fontId="30" fillId="0" borderId="59" xfId="74" applyNumberFormat="1" applyFont="1" applyFill="1" applyBorder="1" applyAlignment="1" applyProtection="1">
      <alignment vertical="center"/>
      <protection locked="0"/>
    </xf>
    <xf numFmtId="0" fontId="30" fillId="0" borderId="22" xfId="107" applyFont="1" applyFill="1" applyBorder="1" applyAlignment="1" applyProtection="1">
      <alignment horizontal="center" vertical="center"/>
      <protection/>
    </xf>
    <xf numFmtId="0" fontId="76" fillId="0" borderId="26" xfId="0" applyFont="1" applyFill="1" applyBorder="1" applyAlignment="1">
      <alignment vertical="center" wrapText="1"/>
    </xf>
    <xf numFmtId="168" fontId="46" fillId="0" borderId="41" xfId="74" applyNumberFormat="1" applyFont="1" applyFill="1" applyBorder="1" applyAlignment="1" applyProtection="1">
      <alignment vertical="center"/>
      <protection/>
    </xf>
    <xf numFmtId="168" fontId="30" fillId="0" borderId="41" xfId="74" applyNumberFormat="1" applyFont="1" applyFill="1" applyBorder="1" applyAlignment="1" applyProtection="1">
      <alignment vertical="center"/>
      <protection/>
    </xf>
    <xf numFmtId="0" fontId="11" fillId="0" borderId="0" xfId="97" applyFont="1" applyFill="1">
      <alignment/>
      <protection/>
    </xf>
    <xf numFmtId="0" fontId="88" fillId="0" borderId="24" xfId="97" applyFont="1" applyFill="1" applyBorder="1" applyAlignment="1">
      <alignment horizontal="center" vertical="center" wrapText="1"/>
      <protection/>
    </xf>
    <xf numFmtId="0" fontId="19" fillId="0" borderId="24" xfId="97" applyFont="1" applyFill="1" applyBorder="1" applyAlignment="1">
      <alignment horizontal="left" vertical="top" wrapText="1"/>
      <protection/>
    </xf>
    <xf numFmtId="3" fontId="19" fillId="0" borderId="24" xfId="97" applyNumberFormat="1" applyFont="1" applyFill="1" applyBorder="1" applyAlignment="1">
      <alignment horizontal="right" vertical="top" wrapText="1"/>
      <protection/>
    </xf>
    <xf numFmtId="3" fontId="19" fillId="0" borderId="24" xfId="95" applyNumberFormat="1" applyFont="1" applyFill="1" applyBorder="1" applyAlignment="1">
      <alignment horizontal="right" vertical="top" wrapText="1"/>
      <protection/>
    </xf>
    <xf numFmtId="0" fontId="88" fillId="0" borderId="24" xfId="97" applyFont="1" applyFill="1" applyBorder="1" applyAlignment="1">
      <alignment horizontal="left" vertical="top" wrapText="1"/>
      <protection/>
    </xf>
    <xf numFmtId="3" fontId="88" fillId="0" borderId="24" xfId="97" applyNumberFormat="1" applyFont="1" applyFill="1" applyBorder="1" applyAlignment="1">
      <alignment horizontal="right" vertical="top" wrapText="1"/>
      <protection/>
    </xf>
    <xf numFmtId="3" fontId="88" fillId="0" borderId="24" xfId="95" applyNumberFormat="1" applyFont="1" applyFill="1" applyBorder="1" applyAlignment="1">
      <alignment horizontal="right" vertical="top" wrapText="1"/>
      <protection/>
    </xf>
    <xf numFmtId="0" fontId="19" fillId="0" borderId="0" xfId="97" applyFont="1" applyFill="1" applyAlignment="1">
      <alignment horizontal="center" vertical="top" wrapText="1"/>
      <protection/>
    </xf>
    <xf numFmtId="0" fontId="11" fillId="0" borderId="24" xfId="97" applyFont="1" applyFill="1" applyBorder="1">
      <alignment/>
      <protection/>
    </xf>
    <xf numFmtId="0" fontId="19" fillId="0" borderId="24" xfId="97" applyFont="1" applyFill="1" applyBorder="1" applyAlignment="1">
      <alignment horizontal="center" vertical="top" wrapText="1"/>
      <protection/>
    </xf>
    <xf numFmtId="0" fontId="19" fillId="0" borderId="24" xfId="0" applyFont="1" applyFill="1" applyBorder="1" applyAlignment="1">
      <alignment horizontal="center" vertical="top" wrapText="1"/>
    </xf>
    <xf numFmtId="3" fontId="19" fillId="0" borderId="24" xfId="0" applyNumberFormat="1" applyFont="1" applyFill="1" applyBorder="1" applyAlignment="1">
      <alignment horizontal="right" vertical="top" wrapText="1"/>
    </xf>
    <xf numFmtId="0" fontId="88" fillId="0" borderId="0" xfId="97" applyFont="1" applyFill="1" applyAlignment="1">
      <alignment horizontal="center" vertical="top" wrapText="1"/>
      <protection/>
    </xf>
    <xf numFmtId="0" fontId="19" fillId="0" borderId="24" xfId="97" applyFont="1" applyBorder="1" applyAlignment="1">
      <alignment horizontal="left" vertical="top" wrapText="1"/>
      <protection/>
    </xf>
    <xf numFmtId="3" fontId="19" fillId="0" borderId="24" xfId="0" applyNumberFormat="1" applyFont="1" applyBorder="1" applyAlignment="1">
      <alignment horizontal="right" vertical="top" wrapText="1"/>
    </xf>
    <xf numFmtId="3" fontId="19" fillId="0" borderId="24" xfId="97" applyNumberFormat="1" applyFont="1" applyBorder="1" applyAlignment="1">
      <alignment horizontal="right" vertical="top" wrapText="1"/>
      <protection/>
    </xf>
    <xf numFmtId="0" fontId="88" fillId="0" borderId="24" xfId="97" applyFont="1" applyBorder="1" applyAlignment="1">
      <alignment horizontal="left" vertical="top" wrapText="1"/>
      <protection/>
    </xf>
    <xf numFmtId="3" fontId="88" fillId="0" borderId="24" xfId="0" applyNumberFormat="1" applyFont="1" applyBorder="1" applyAlignment="1">
      <alignment horizontal="right" vertical="top" wrapText="1"/>
    </xf>
    <xf numFmtId="3" fontId="88" fillId="0" borderId="24" xfId="97" applyNumberFormat="1" applyFont="1" applyBorder="1" applyAlignment="1">
      <alignment horizontal="right" vertical="top" wrapText="1"/>
      <protection/>
    </xf>
    <xf numFmtId="0" fontId="76" fillId="0" borderId="0" xfId="109" applyFont="1" applyFill="1" applyAlignment="1" applyProtection="1">
      <alignment horizontal="center" vertical="center"/>
      <protection/>
    </xf>
    <xf numFmtId="0" fontId="76" fillId="0" borderId="0" xfId="109" applyFont="1" applyFill="1" applyAlignment="1" applyProtection="1">
      <alignment vertical="center"/>
      <protection/>
    </xf>
    <xf numFmtId="3" fontId="1" fillId="0" borderId="0" xfId="102" applyNumberFormat="1" applyFill="1" applyAlignment="1">
      <alignment vertical="center" wrapText="1"/>
      <protection/>
    </xf>
    <xf numFmtId="3" fontId="1" fillId="0" borderId="0" xfId="102" applyNumberFormat="1" applyFill="1" applyAlignment="1">
      <alignment vertical="center"/>
      <protection/>
    </xf>
    <xf numFmtId="3" fontId="1" fillId="0" borderId="0" xfId="102" applyNumberFormat="1" applyFill="1" applyAlignment="1">
      <alignment horizontal="right" vertical="center"/>
      <protection/>
    </xf>
    <xf numFmtId="3" fontId="87" fillId="0" borderId="26" xfId="102" applyNumberFormat="1" applyFont="1" applyFill="1" applyBorder="1" applyAlignment="1">
      <alignment horizontal="center" vertical="center"/>
      <protection/>
    </xf>
    <xf numFmtId="3" fontId="87" fillId="0" borderId="93" xfId="102" applyNumberFormat="1" applyFont="1" applyFill="1" applyBorder="1" applyAlignment="1">
      <alignment horizontal="center" vertical="center"/>
      <protection/>
    </xf>
    <xf numFmtId="3" fontId="87" fillId="0" borderId="48" xfId="102" applyNumberFormat="1" applyFont="1" applyFill="1" applyBorder="1" applyAlignment="1">
      <alignment horizontal="center" vertical="center"/>
      <protection/>
    </xf>
    <xf numFmtId="3" fontId="26" fillId="0" borderId="27" xfId="102" applyNumberFormat="1" applyFont="1" applyFill="1" applyBorder="1" applyAlignment="1">
      <alignment vertical="center" wrapText="1"/>
      <protection/>
    </xf>
    <xf numFmtId="3" fontId="26" fillId="0" borderId="21" xfId="102" applyNumberFormat="1" applyFont="1" applyFill="1" applyBorder="1" applyAlignment="1">
      <alignment vertical="center"/>
      <protection/>
    </xf>
    <xf numFmtId="3" fontId="26" fillId="0" borderId="21" xfId="102" applyNumberFormat="1" applyFont="1" applyFill="1" applyBorder="1" applyAlignment="1">
      <alignment horizontal="right" vertical="center"/>
      <protection/>
    </xf>
    <xf numFmtId="3" fontId="26" fillId="0" borderId="25" xfId="102" applyNumberFormat="1" applyFont="1" applyFill="1" applyBorder="1" applyAlignment="1">
      <alignment horizontal="right" vertical="center"/>
      <protection/>
    </xf>
    <xf numFmtId="3" fontId="26" fillId="0" borderId="22" xfId="102" applyNumberFormat="1" applyFont="1" applyFill="1" applyBorder="1" applyAlignment="1">
      <alignment vertical="center" wrapText="1"/>
      <protection/>
    </xf>
    <xf numFmtId="3" fontId="26" fillId="0" borderId="24" xfId="102" applyNumberFormat="1" applyFont="1" applyFill="1" applyBorder="1" applyAlignment="1">
      <alignment vertical="center"/>
      <protection/>
    </xf>
    <xf numFmtId="3" fontId="26" fillId="0" borderId="24" xfId="102" applyNumberFormat="1" applyFont="1" applyFill="1" applyBorder="1" applyAlignment="1">
      <alignment horizontal="right" vertical="center"/>
      <protection/>
    </xf>
    <xf numFmtId="3" fontId="26" fillId="0" borderId="30" xfId="102" applyNumberFormat="1" applyFont="1" applyFill="1" applyBorder="1" applyAlignment="1">
      <alignment vertical="center" wrapText="1"/>
      <protection/>
    </xf>
    <xf numFmtId="3" fontId="26" fillId="0" borderId="29" xfId="102" applyNumberFormat="1" applyFont="1" applyFill="1" applyBorder="1" applyAlignment="1">
      <alignment vertical="center"/>
      <protection/>
    </xf>
    <xf numFmtId="3" fontId="26" fillId="0" borderId="29" xfId="102" applyNumberFormat="1" applyFont="1" applyFill="1" applyBorder="1" applyAlignment="1">
      <alignment horizontal="right" vertical="center"/>
      <protection/>
    </xf>
    <xf numFmtId="3" fontId="26" fillId="0" borderId="23" xfId="102" applyNumberFormat="1" applyFont="1" applyFill="1" applyBorder="1" applyAlignment="1">
      <alignment vertical="center" wrapText="1"/>
      <protection/>
    </xf>
    <xf numFmtId="3" fontId="26" fillId="0" borderId="26" xfId="102" applyNumberFormat="1" applyFont="1" applyFill="1" applyBorder="1" applyAlignment="1">
      <alignment vertical="center"/>
      <protection/>
    </xf>
    <xf numFmtId="3" fontId="26" fillId="0" borderId="26" xfId="102" applyNumberFormat="1" applyFont="1" applyFill="1" applyBorder="1" applyAlignment="1">
      <alignment horizontal="right" vertical="center"/>
      <protection/>
    </xf>
    <xf numFmtId="3" fontId="26" fillId="0" borderId="48" xfId="102" applyNumberFormat="1" applyFont="1" applyFill="1" applyBorder="1" applyAlignment="1">
      <alignment horizontal="right" vertical="center"/>
      <protection/>
    </xf>
    <xf numFmtId="3" fontId="24" fillId="0" borderId="44" xfId="102" applyNumberFormat="1" applyFont="1" applyFill="1" applyBorder="1" applyAlignment="1">
      <alignment vertical="center" wrapText="1"/>
      <protection/>
    </xf>
    <xf numFmtId="3" fontId="24" fillId="0" borderId="45" xfId="102" applyNumberFormat="1" applyFont="1" applyFill="1" applyBorder="1" applyAlignment="1">
      <alignment vertical="center"/>
      <protection/>
    </xf>
    <xf numFmtId="3" fontId="24" fillId="0" borderId="46" xfId="102" applyNumberFormat="1" applyFont="1" applyFill="1" applyBorder="1" applyAlignment="1">
      <alignment vertical="center"/>
      <protection/>
    </xf>
    <xf numFmtId="0" fontId="26" fillId="0" borderId="27" xfId="102" applyFont="1" applyFill="1" applyBorder="1" applyAlignment="1">
      <alignment vertical="center"/>
      <protection/>
    </xf>
    <xf numFmtId="0" fontId="26" fillId="0" borderId="23" xfId="102" applyFont="1" applyFill="1" applyBorder="1" applyAlignment="1">
      <alignment vertical="center"/>
      <protection/>
    </xf>
    <xf numFmtId="3" fontId="6" fillId="0" borderId="0" xfId="102" applyNumberFormat="1" applyFont="1" applyFill="1" applyAlignment="1">
      <alignment vertical="center"/>
      <protection/>
    </xf>
    <xf numFmtId="0" fontId="24" fillId="0" borderId="44" xfId="102" applyFont="1" applyFill="1" applyBorder="1" applyAlignment="1">
      <alignment vertical="center"/>
      <protection/>
    </xf>
    <xf numFmtId="167" fontId="159" fillId="0" borderId="22" xfId="98" applyNumberFormat="1" applyFont="1" applyFill="1" applyBorder="1" applyAlignment="1" applyProtection="1">
      <alignment vertical="center" wrapText="1"/>
      <protection/>
    </xf>
    <xf numFmtId="167" fontId="160" fillId="0" borderId="0" xfId="98" applyNumberFormat="1" applyFont="1" applyFill="1" applyAlignment="1">
      <alignment vertical="center" wrapText="1"/>
      <protection/>
    </xf>
    <xf numFmtId="167" fontId="160" fillId="0" borderId="0" xfId="98" applyNumberFormat="1" applyFont="1" applyFill="1" applyAlignment="1">
      <alignment horizontal="center" vertical="center" wrapText="1"/>
      <protection/>
    </xf>
    <xf numFmtId="167" fontId="161" fillId="0" borderId="0" xfId="98" applyNumberFormat="1" applyFont="1" applyFill="1" applyAlignment="1">
      <alignment horizontal="right"/>
      <protection/>
    </xf>
    <xf numFmtId="167" fontId="162" fillId="0" borderId="0" xfId="98" applyNumberFormat="1" applyFont="1" applyFill="1" applyAlignment="1">
      <alignment vertical="center"/>
      <protection/>
    </xf>
    <xf numFmtId="167" fontId="163" fillId="0" borderId="74" xfId="98" applyNumberFormat="1" applyFont="1" applyFill="1" applyBorder="1" applyAlignment="1">
      <alignment horizontal="center" vertical="center"/>
      <protection/>
    </xf>
    <xf numFmtId="167" fontId="163" fillId="0" borderId="48" xfId="98" applyNumberFormat="1" applyFont="1" applyFill="1" applyBorder="1" applyAlignment="1">
      <alignment horizontal="center" vertical="center" wrapText="1"/>
      <protection/>
    </xf>
    <xf numFmtId="167" fontId="162" fillId="0" borderId="0" xfId="98" applyNumberFormat="1" applyFont="1" applyFill="1" applyAlignment="1">
      <alignment horizontal="center" vertical="center"/>
      <protection/>
    </xf>
    <xf numFmtId="167" fontId="164" fillId="0" borderId="31" xfId="98" applyNumberFormat="1" applyFont="1" applyFill="1" applyBorder="1" applyAlignment="1">
      <alignment horizontal="center" vertical="center" wrapText="1"/>
      <protection/>
    </xf>
    <xf numFmtId="167" fontId="164" fillId="0" borderId="76" xfId="98" applyNumberFormat="1" applyFont="1" applyFill="1" applyBorder="1" applyAlignment="1">
      <alignment horizontal="center" vertical="center" wrapText="1"/>
      <protection/>
    </xf>
    <xf numFmtId="167" fontId="164" fillId="0" borderId="61" xfId="98" applyNumberFormat="1" applyFont="1" applyFill="1" applyBorder="1" applyAlignment="1">
      <alignment horizontal="center" vertical="center" wrapText="1"/>
      <protection/>
    </xf>
    <xf numFmtId="167" fontId="164" fillId="0" borderId="41" xfId="98" applyNumberFormat="1" applyFont="1" applyFill="1" applyBorder="1" applyAlignment="1">
      <alignment horizontal="center" vertical="center" wrapText="1"/>
      <protection/>
    </xf>
    <xf numFmtId="167" fontId="164" fillId="0" borderId="78" xfId="98" applyNumberFormat="1" applyFont="1" applyFill="1" applyBorder="1" applyAlignment="1">
      <alignment horizontal="center" vertical="center" wrapText="1"/>
      <protection/>
    </xf>
    <xf numFmtId="167" fontId="162" fillId="0" borderId="0" xfId="98" applyNumberFormat="1" applyFont="1" applyFill="1" applyAlignment="1">
      <alignment horizontal="center" vertical="center" wrapText="1"/>
      <protection/>
    </xf>
    <xf numFmtId="167" fontId="164" fillId="0" borderId="76" xfId="98" applyNumberFormat="1" applyFont="1" applyFill="1" applyBorder="1" applyAlignment="1">
      <alignment horizontal="left" vertical="center" wrapText="1" indent="1"/>
      <protection/>
    </xf>
    <xf numFmtId="49" fontId="159" fillId="0" borderId="28" xfId="98" applyNumberFormat="1" applyFont="1" applyFill="1" applyBorder="1" applyAlignment="1" applyProtection="1">
      <alignment horizontal="center" vertical="center" wrapText="1"/>
      <protection locked="0"/>
    </xf>
    <xf numFmtId="167" fontId="159" fillId="0" borderId="76" xfId="98" applyNumberFormat="1" applyFont="1" applyFill="1" applyBorder="1" applyAlignment="1">
      <alignment vertical="center" wrapText="1"/>
      <protection/>
    </xf>
    <xf numFmtId="167" fontId="159" fillId="0" borderId="40" xfId="98" applyNumberFormat="1" applyFont="1" applyFill="1" applyBorder="1" applyAlignment="1">
      <alignment vertical="center" wrapText="1"/>
      <protection/>
    </xf>
    <xf numFmtId="167" fontId="159" fillId="0" borderId="28" xfId="98" applyNumberFormat="1" applyFont="1" applyFill="1" applyBorder="1" applyAlignment="1">
      <alignment vertical="center" wrapText="1"/>
      <protection/>
    </xf>
    <xf numFmtId="167" fontId="159" fillId="0" borderId="41" xfId="98" applyNumberFormat="1" applyFont="1" applyFill="1" applyBorder="1" applyAlignment="1">
      <alignment vertical="center" wrapText="1"/>
      <protection/>
    </xf>
    <xf numFmtId="167" fontId="165" fillId="0" borderId="76" xfId="98" applyNumberFormat="1" applyFont="1" applyFill="1" applyBorder="1" applyAlignment="1">
      <alignment vertical="center" wrapText="1"/>
      <protection/>
    </xf>
    <xf numFmtId="167" fontId="165" fillId="0" borderId="77" xfId="98" applyNumberFormat="1" applyFont="1" applyFill="1" applyBorder="1" applyAlignment="1" applyProtection="1">
      <alignment horizontal="left" vertical="center" wrapText="1" indent="1"/>
      <protection locked="0"/>
    </xf>
    <xf numFmtId="49" fontId="159" fillId="0" borderId="24" xfId="98" applyNumberFormat="1" applyFont="1" applyFill="1" applyBorder="1" applyAlignment="1" applyProtection="1">
      <alignment horizontal="center" vertical="center" wrapText="1"/>
      <protection locked="0"/>
    </xf>
    <xf numFmtId="167" fontId="159" fillId="0" borderId="77" xfId="98" applyNumberFormat="1" applyFont="1" applyFill="1" applyBorder="1" applyAlignment="1" applyProtection="1">
      <alignment vertical="center" wrapText="1"/>
      <protection locked="0"/>
    </xf>
    <xf numFmtId="167" fontId="159" fillId="0" borderId="22" xfId="98" applyNumberFormat="1" applyFont="1" applyFill="1" applyBorder="1" applyAlignment="1" applyProtection="1">
      <alignment vertical="center" wrapText="1"/>
      <protection locked="0"/>
    </xf>
    <xf numFmtId="167" fontId="159" fillId="0" borderId="24" xfId="98" applyNumberFormat="1" applyFont="1" applyFill="1" applyBorder="1" applyAlignment="1" applyProtection="1">
      <alignment vertical="center" wrapText="1"/>
      <protection locked="0"/>
    </xf>
    <xf numFmtId="167" fontId="159" fillId="0" borderId="25" xfId="98" applyNumberFormat="1" applyFont="1" applyFill="1" applyBorder="1" applyAlignment="1" applyProtection="1">
      <alignment vertical="center" wrapText="1"/>
      <protection locked="0"/>
    </xf>
    <xf numFmtId="167" fontId="165" fillId="0" borderId="77" xfId="98" applyNumberFormat="1" applyFont="1" applyFill="1" applyBorder="1" applyAlignment="1">
      <alignment vertical="center" wrapText="1"/>
      <protection/>
    </xf>
    <xf numFmtId="167" fontId="165" fillId="0" borderId="123" xfId="98" applyNumberFormat="1" applyFont="1" applyFill="1" applyBorder="1" applyAlignment="1">
      <alignment horizontal="left" vertical="center" wrapText="1" indent="1"/>
      <protection/>
    </xf>
    <xf numFmtId="49" fontId="159" fillId="0" borderId="19" xfId="98" applyNumberFormat="1" applyFont="1" applyFill="1" applyBorder="1" applyAlignment="1" applyProtection="1">
      <alignment horizontal="center" vertical="center" wrapText="1"/>
      <protection locked="0"/>
    </xf>
    <xf numFmtId="167" fontId="159" fillId="0" borderId="123" xfId="98" applyNumberFormat="1" applyFont="1" applyFill="1" applyBorder="1" applyAlignment="1">
      <alignment vertical="center" wrapText="1"/>
      <protection/>
    </xf>
    <xf numFmtId="167" fontId="159" fillId="0" borderId="19" xfId="98" applyNumberFormat="1" applyFont="1" applyFill="1" applyBorder="1" applyAlignment="1">
      <alignment vertical="center" wrapText="1"/>
      <protection/>
    </xf>
    <xf numFmtId="167" fontId="159" fillId="0" borderId="20" xfId="98" applyNumberFormat="1" applyFont="1" applyFill="1" applyBorder="1" applyAlignment="1">
      <alignment vertical="center" wrapText="1"/>
      <protection/>
    </xf>
    <xf numFmtId="167" fontId="159" fillId="0" borderId="43" xfId="98" applyNumberFormat="1" applyFont="1" applyFill="1" applyBorder="1" applyAlignment="1">
      <alignment vertical="center" wrapText="1"/>
      <protection/>
    </xf>
    <xf numFmtId="167" fontId="165" fillId="0" borderId="123" xfId="98" applyNumberFormat="1" applyFont="1" applyFill="1" applyBorder="1" applyAlignment="1">
      <alignment vertical="center" wrapText="1"/>
      <protection/>
    </xf>
    <xf numFmtId="167" fontId="165" fillId="0" borderId="77" xfId="98" applyNumberFormat="1" applyFont="1" applyFill="1" applyBorder="1" applyAlignment="1">
      <alignment horizontal="left" vertical="center" wrapText="1" indent="1"/>
      <protection/>
    </xf>
    <xf numFmtId="49" fontId="159" fillId="0" borderId="22" xfId="98" applyNumberFormat="1" applyFont="1" applyFill="1" applyBorder="1" applyAlignment="1" applyProtection="1">
      <alignment horizontal="center" vertical="center" wrapText="1"/>
      <protection locked="0"/>
    </xf>
    <xf numFmtId="167" fontId="159" fillId="0" borderId="77" xfId="98" applyNumberFormat="1" applyFont="1" applyFill="1" applyBorder="1" applyAlignment="1">
      <alignment vertical="center" wrapText="1"/>
      <protection/>
    </xf>
    <xf numFmtId="167" fontId="159" fillId="0" borderId="22" xfId="98" applyNumberFormat="1" applyFont="1" applyFill="1" applyBorder="1" applyAlignment="1">
      <alignment vertical="center" wrapText="1"/>
      <protection/>
    </xf>
    <xf numFmtId="167" fontId="159" fillId="0" borderId="24" xfId="98" applyNumberFormat="1" applyFont="1" applyFill="1" applyBorder="1" applyAlignment="1">
      <alignment vertical="center" wrapText="1"/>
      <protection/>
    </xf>
    <xf numFmtId="167" fontId="159" fillId="0" borderId="25" xfId="98" applyNumberFormat="1" applyFont="1" applyFill="1" applyBorder="1" applyAlignment="1">
      <alignment vertical="center" wrapText="1"/>
      <protection/>
    </xf>
    <xf numFmtId="167" fontId="165" fillId="0" borderId="124" xfId="98" applyNumberFormat="1" applyFont="1" applyFill="1" applyBorder="1" applyAlignment="1" applyProtection="1">
      <alignment horizontal="left" vertical="center" wrapText="1" indent="1"/>
      <protection locked="0"/>
    </xf>
    <xf numFmtId="49" fontId="159" fillId="0" borderId="23" xfId="98" applyNumberFormat="1" applyFont="1" applyFill="1" applyBorder="1" applyAlignment="1" applyProtection="1">
      <alignment horizontal="center" vertical="center" wrapText="1"/>
      <protection locked="0"/>
    </xf>
    <xf numFmtId="167" fontId="159" fillId="0" borderId="124" xfId="98" applyNumberFormat="1" applyFont="1" applyFill="1" applyBorder="1" applyAlignment="1">
      <alignment vertical="center" wrapText="1"/>
      <protection/>
    </xf>
    <xf numFmtId="167" fontId="159" fillId="0" borderId="23" xfId="98" applyNumberFormat="1" applyFont="1" applyFill="1" applyBorder="1" applyAlignment="1">
      <alignment vertical="center" wrapText="1"/>
      <protection/>
    </xf>
    <xf numFmtId="167" fontId="159" fillId="0" borderId="26" xfId="98" applyNumberFormat="1" applyFont="1" applyFill="1" applyBorder="1" applyAlignment="1">
      <alignment vertical="center" wrapText="1"/>
      <protection/>
    </xf>
    <xf numFmtId="167" fontId="159" fillId="0" borderId="48" xfId="98" applyNumberFormat="1" applyFont="1" applyFill="1" applyBorder="1" applyAlignment="1">
      <alignment vertical="center" wrapText="1"/>
      <protection/>
    </xf>
    <xf numFmtId="167" fontId="165" fillId="0" borderId="124" xfId="98" applyNumberFormat="1" applyFont="1" applyFill="1" applyBorder="1" applyAlignment="1">
      <alignment vertical="center" wrapText="1"/>
      <protection/>
    </xf>
    <xf numFmtId="167" fontId="165" fillId="0" borderId="123" xfId="98" applyNumberFormat="1" applyFont="1" applyFill="1" applyBorder="1" applyAlignment="1" applyProtection="1">
      <alignment horizontal="left" vertical="center" wrapText="1" indent="1"/>
      <protection locked="0"/>
    </xf>
    <xf numFmtId="49" fontId="159" fillId="0" borderId="20" xfId="98" applyNumberFormat="1" applyFont="1" applyFill="1" applyBorder="1" applyAlignment="1" applyProtection="1">
      <alignment horizontal="center" vertical="center" wrapText="1"/>
      <protection locked="0"/>
    </xf>
    <xf numFmtId="167" fontId="159" fillId="0" borderId="123" xfId="98" applyNumberFormat="1" applyFont="1" applyFill="1" applyBorder="1" applyAlignment="1" applyProtection="1">
      <alignment vertical="center" wrapText="1"/>
      <protection locked="0"/>
    </xf>
    <xf numFmtId="167" fontId="159" fillId="0" borderId="19" xfId="98" applyNumberFormat="1" applyFont="1" applyFill="1" applyBorder="1" applyAlignment="1" applyProtection="1">
      <alignment vertical="center" wrapText="1"/>
      <protection locked="0"/>
    </xf>
    <xf numFmtId="167" fontId="159" fillId="0" borderId="20" xfId="98" applyNumberFormat="1" applyFont="1" applyFill="1" applyBorder="1" applyAlignment="1" applyProtection="1">
      <alignment vertical="center" wrapText="1"/>
      <protection locked="0"/>
    </xf>
    <xf numFmtId="167" fontId="159" fillId="0" borderId="43" xfId="98" applyNumberFormat="1" applyFont="1" applyFill="1" applyBorder="1" applyAlignment="1" applyProtection="1">
      <alignment vertical="center" wrapText="1"/>
      <protection locked="0"/>
    </xf>
    <xf numFmtId="167" fontId="165" fillId="0" borderId="124" xfId="98" applyNumberFormat="1" applyFont="1" applyFill="1" applyBorder="1" applyAlignment="1">
      <alignment horizontal="left" vertical="center" wrapText="1" indent="1"/>
      <protection/>
    </xf>
    <xf numFmtId="49" fontId="159" fillId="0" borderId="26" xfId="98" applyNumberFormat="1" applyFont="1" applyFill="1" applyBorder="1" applyAlignment="1" applyProtection="1">
      <alignment horizontal="center" vertical="center" wrapText="1"/>
      <protection locked="0"/>
    </xf>
    <xf numFmtId="167" fontId="159" fillId="0" borderId="124" xfId="98" applyNumberFormat="1" applyFont="1" applyFill="1" applyBorder="1" applyAlignment="1" applyProtection="1">
      <alignment vertical="center" wrapText="1"/>
      <protection locked="0"/>
    </xf>
    <xf numFmtId="167" fontId="159" fillId="0" borderId="23" xfId="98" applyNumberFormat="1" applyFont="1" applyFill="1" applyBorder="1" applyAlignment="1" applyProtection="1">
      <alignment vertical="center" wrapText="1"/>
      <protection locked="0"/>
    </xf>
    <xf numFmtId="167" fontId="159" fillId="0" borderId="26" xfId="98" applyNumberFormat="1" applyFont="1" applyFill="1" applyBorder="1" applyAlignment="1" applyProtection="1">
      <alignment vertical="center" wrapText="1"/>
      <protection locked="0"/>
    </xf>
    <xf numFmtId="167" fontId="159" fillId="0" borderId="48" xfId="98" applyNumberFormat="1" applyFont="1" applyFill="1" applyBorder="1" applyAlignment="1" applyProtection="1">
      <alignment vertical="center" wrapText="1"/>
      <protection locked="0"/>
    </xf>
    <xf numFmtId="167" fontId="165" fillId="0" borderId="78" xfId="98" applyNumberFormat="1" applyFont="1" applyFill="1" applyBorder="1" applyAlignment="1">
      <alignment horizontal="left" vertical="center" wrapText="1" indent="1"/>
      <protection/>
    </xf>
    <xf numFmtId="49" fontId="159" fillId="0" borderId="63" xfId="98" applyNumberFormat="1" applyFont="1" applyFill="1" applyBorder="1" applyAlignment="1" applyProtection="1">
      <alignment horizontal="center" vertical="center" wrapText="1"/>
      <protection locked="0"/>
    </xf>
    <xf numFmtId="167" fontId="159" fillId="0" borderId="61" xfId="98" applyNumberFormat="1" applyFont="1" applyFill="1" applyBorder="1" applyAlignment="1">
      <alignment horizontal="left" vertical="center" wrapText="1" indent="2"/>
      <protection/>
    </xf>
    <xf numFmtId="0" fontId="166" fillId="0" borderId="0" xfId="95" applyFont="1" applyAlignment="1">
      <alignment wrapText="1"/>
      <protection/>
    </xf>
    <xf numFmtId="3" fontId="166" fillId="0" borderId="0" xfId="95" applyNumberFormat="1" applyFont="1">
      <alignment/>
      <protection/>
    </xf>
    <xf numFmtId="0" fontId="166" fillId="0" borderId="0" xfId="95" applyFont="1">
      <alignment/>
      <protection/>
    </xf>
    <xf numFmtId="0" fontId="167" fillId="0" borderId="0" xfId="95" applyFont="1" applyAlignment="1">
      <alignment horizontal="right"/>
      <protection/>
    </xf>
    <xf numFmtId="0" fontId="168" fillId="0" borderId="40" xfId="95" applyFont="1" applyBorder="1" applyAlignment="1">
      <alignment horizontal="center" vertical="center" wrapText="1"/>
      <protection/>
    </xf>
    <xf numFmtId="0" fontId="168" fillId="0" borderId="0" xfId="95" applyFont="1" applyAlignment="1">
      <alignment horizontal="center"/>
      <protection/>
    </xf>
    <xf numFmtId="0" fontId="168" fillId="0" borderId="52" xfId="95" applyFont="1" applyBorder="1">
      <alignment/>
      <protection/>
    </xf>
    <xf numFmtId="0" fontId="168" fillId="0" borderId="24" xfId="95" applyFont="1" applyBorder="1">
      <alignment/>
      <protection/>
    </xf>
    <xf numFmtId="0" fontId="166" fillId="0" borderId="24" xfId="95" applyFont="1" applyBorder="1" applyAlignment="1">
      <alignment wrapText="1"/>
      <protection/>
    </xf>
    <xf numFmtId="3" fontId="168" fillId="0" borderId="24" xfId="95" applyNumberFormat="1" applyFont="1" applyBorder="1" applyAlignment="1">
      <alignment wrapText="1"/>
      <protection/>
    </xf>
    <xf numFmtId="3" fontId="168" fillId="0" borderId="24" xfId="95" applyNumberFormat="1" applyFont="1" applyBorder="1">
      <alignment/>
      <protection/>
    </xf>
    <xf numFmtId="0" fontId="166" fillId="0" borderId="24" xfId="95" applyFont="1" applyBorder="1">
      <alignment/>
      <protection/>
    </xf>
    <xf numFmtId="0" fontId="168" fillId="0" borderId="27" xfId="95" applyFont="1" applyBorder="1" applyAlignment="1">
      <alignment horizontal="center" vertical="center"/>
      <protection/>
    </xf>
    <xf numFmtId="0" fontId="166" fillId="0" borderId="21" xfId="95" applyFont="1" applyBorder="1" applyAlignment="1">
      <alignment wrapText="1"/>
      <protection/>
    </xf>
    <xf numFmtId="3" fontId="166" fillId="0" borderId="21" xfId="95" applyNumberFormat="1" applyFont="1" applyBorder="1">
      <alignment/>
      <protection/>
    </xf>
    <xf numFmtId="0" fontId="166" fillId="0" borderId="21" xfId="95" applyFont="1" applyBorder="1">
      <alignment/>
      <protection/>
    </xf>
    <xf numFmtId="3" fontId="166" fillId="0" borderId="29" xfId="95" applyNumberFormat="1" applyFont="1" applyBorder="1">
      <alignment/>
      <protection/>
    </xf>
    <xf numFmtId="0" fontId="166" fillId="0" borderId="29" xfId="95" applyFont="1" applyBorder="1">
      <alignment/>
      <protection/>
    </xf>
    <xf numFmtId="3" fontId="166" fillId="0" borderId="26" xfId="95" applyNumberFormat="1" applyFont="1" applyBorder="1">
      <alignment/>
      <protection/>
    </xf>
    <xf numFmtId="0" fontId="166" fillId="0" borderId="26" xfId="95" applyFont="1" applyBorder="1">
      <alignment/>
      <protection/>
    </xf>
    <xf numFmtId="0" fontId="166" fillId="0" borderId="0" xfId="95" applyFont="1" applyAlignment="1">
      <alignment horizontal="left" vertical="center" wrapText="1"/>
      <protection/>
    </xf>
    <xf numFmtId="0" fontId="168" fillId="0" borderId="19" xfId="95" applyFont="1" applyBorder="1" applyAlignment="1">
      <alignment horizontal="center" vertical="center"/>
      <protection/>
    </xf>
    <xf numFmtId="0" fontId="166" fillId="0" borderId="20" xfId="95" applyFont="1" applyBorder="1" applyAlignment="1">
      <alignment horizontal="left" vertical="center" wrapText="1"/>
      <protection/>
    </xf>
    <xf numFmtId="3" fontId="166" fillId="0" borderId="20" xfId="95" applyNumberFormat="1" applyFont="1" applyBorder="1" applyAlignment="1">
      <alignment horizontal="right" vertical="center"/>
      <protection/>
    </xf>
    <xf numFmtId="0" fontId="166" fillId="0" borderId="20" xfId="95" applyFont="1" applyBorder="1" applyAlignment="1">
      <alignment horizontal="left" vertical="center"/>
      <protection/>
    </xf>
    <xf numFmtId="0" fontId="166" fillId="0" borderId="26" xfId="95" applyFont="1" applyBorder="1" applyAlignment="1">
      <alignment vertical="center" wrapText="1"/>
      <protection/>
    </xf>
    <xf numFmtId="0" fontId="166" fillId="0" borderId="0" xfId="95" applyFont="1" applyAlignment="1">
      <alignment vertical="center" wrapText="1"/>
      <protection/>
    </xf>
    <xf numFmtId="0" fontId="168" fillId="0" borderId="19" xfId="95" applyFont="1" applyBorder="1" applyAlignment="1">
      <alignment horizontal="center" vertical="center" wrapText="1"/>
      <protection/>
    </xf>
    <xf numFmtId="0" fontId="166" fillId="0" borderId="20" xfId="95" applyFont="1" applyBorder="1" applyAlignment="1">
      <alignment vertical="center" wrapText="1"/>
      <protection/>
    </xf>
    <xf numFmtId="3" fontId="166" fillId="0" borderId="20" xfId="95" applyNumberFormat="1" applyFont="1" applyBorder="1" applyAlignment="1">
      <alignment vertical="center" wrapText="1"/>
      <protection/>
    </xf>
    <xf numFmtId="0" fontId="166" fillId="0" borderId="20" xfId="95" applyFont="1" applyBorder="1" applyAlignment="1">
      <alignment vertical="center"/>
      <protection/>
    </xf>
    <xf numFmtId="0" fontId="166" fillId="0" borderId="51" xfId="95" applyFont="1" applyBorder="1" applyAlignment="1">
      <alignment vertical="center" wrapText="1"/>
      <protection/>
    </xf>
    <xf numFmtId="3" fontId="166" fillId="0" borderId="51" xfId="95" applyNumberFormat="1" applyFont="1" applyBorder="1" applyAlignment="1">
      <alignment vertical="center" wrapText="1"/>
      <protection/>
    </xf>
    <xf numFmtId="0" fontId="166" fillId="0" borderId="51" xfId="95" applyFont="1" applyBorder="1" applyAlignment="1">
      <alignment vertical="center"/>
      <protection/>
    </xf>
    <xf numFmtId="3" fontId="166" fillId="0" borderId="29" xfId="95" applyNumberFormat="1" applyFont="1" applyBorder="1" applyAlignment="1">
      <alignment horizontal="right" vertical="center"/>
      <protection/>
    </xf>
    <xf numFmtId="3" fontId="166" fillId="0" borderId="21" xfId="95" applyNumberFormat="1" applyFont="1" applyBorder="1" applyAlignment="1">
      <alignment horizontal="right" vertical="center"/>
      <protection/>
    </xf>
    <xf numFmtId="10" fontId="7" fillId="0" borderId="22" xfId="118" applyNumberFormat="1" applyFont="1" applyBorder="1" applyAlignment="1">
      <alignment vertical="center"/>
    </xf>
    <xf numFmtId="10" fontId="7" fillId="0" borderId="30" xfId="118" applyNumberFormat="1" applyFont="1" applyBorder="1" applyAlignment="1">
      <alignment vertical="center"/>
    </xf>
    <xf numFmtId="10" fontId="7" fillId="0" borderId="27" xfId="118" applyNumberFormat="1" applyFont="1" applyBorder="1" applyAlignment="1">
      <alignment vertical="center"/>
    </xf>
    <xf numFmtId="10" fontId="7" fillId="0" borderId="42" xfId="118" applyNumberFormat="1" applyFont="1" applyBorder="1" applyAlignment="1">
      <alignment vertical="center"/>
    </xf>
    <xf numFmtId="10" fontId="39" fillId="0" borderId="40" xfId="118" applyNumberFormat="1" applyFont="1" applyBorder="1" applyAlignment="1">
      <alignment vertical="center"/>
    </xf>
    <xf numFmtId="10" fontId="4" fillId="0" borderId="42" xfId="118" applyNumberFormat="1" applyFont="1" applyBorder="1" applyAlignment="1">
      <alignment vertical="center"/>
    </xf>
    <xf numFmtId="10" fontId="3" fillId="0" borderId="40" xfId="118" applyNumberFormat="1" applyFont="1" applyBorder="1" applyAlignment="1">
      <alignment horizontal="right" vertical="center"/>
    </xf>
    <xf numFmtId="10" fontId="7" fillId="0" borderId="23" xfId="118" applyNumberFormat="1" applyFont="1" applyBorder="1" applyAlignment="1">
      <alignment vertical="center"/>
    </xf>
    <xf numFmtId="10" fontId="2" fillId="0" borderId="40" xfId="118" applyNumberFormat="1" applyFont="1" applyBorder="1" applyAlignment="1">
      <alignment vertical="center"/>
    </xf>
    <xf numFmtId="10" fontId="4" fillId="0" borderId="40" xfId="118" applyNumberFormat="1" applyFont="1" applyBorder="1" applyAlignment="1">
      <alignment vertical="center"/>
    </xf>
    <xf numFmtId="10" fontId="3" fillId="0" borderId="47" xfId="118" applyNumberFormat="1" applyFont="1" applyBorder="1" applyAlignment="1">
      <alignment vertical="center"/>
    </xf>
    <xf numFmtId="10" fontId="3" fillId="0" borderId="30" xfId="118" applyNumberFormat="1" applyFont="1" applyBorder="1" applyAlignment="1">
      <alignment vertical="center"/>
    </xf>
    <xf numFmtId="10" fontId="3" fillId="49" borderId="28" xfId="118" applyNumberFormat="1" applyFont="1" applyFill="1" applyBorder="1" applyAlignment="1">
      <alignment horizontal="right" vertical="center" wrapText="1"/>
    </xf>
    <xf numFmtId="10" fontId="7" fillId="49" borderId="20" xfId="118" applyNumberFormat="1" applyFont="1" applyFill="1" applyBorder="1" applyAlignment="1">
      <alignment horizontal="right" vertical="center" wrapText="1"/>
    </xf>
    <xf numFmtId="10" fontId="7" fillId="49" borderId="24" xfId="118" applyNumberFormat="1" applyFont="1" applyFill="1" applyBorder="1" applyAlignment="1">
      <alignment horizontal="right" vertical="center" wrapText="1"/>
    </xf>
    <xf numFmtId="10" fontId="3" fillId="49" borderId="40" xfId="118" applyNumberFormat="1" applyFont="1" applyFill="1" applyBorder="1" applyAlignment="1">
      <alignment horizontal="right" vertical="center" wrapText="1"/>
    </xf>
    <xf numFmtId="10" fontId="7" fillId="49" borderId="21" xfId="118" applyNumberFormat="1" applyFont="1" applyFill="1" applyBorder="1" applyAlignment="1">
      <alignment horizontal="right" vertical="center" wrapText="1"/>
    </xf>
    <xf numFmtId="10" fontId="3" fillId="0" borderId="21" xfId="118" applyNumberFormat="1" applyFont="1" applyBorder="1" applyAlignment="1">
      <alignment vertical="center"/>
    </xf>
    <xf numFmtId="10" fontId="7" fillId="0" borderId="29" xfId="118" applyNumberFormat="1" applyFont="1" applyBorder="1" applyAlignment="1">
      <alignment vertical="center"/>
    </xf>
    <xf numFmtId="3" fontId="7" fillId="0" borderId="21" xfId="0" applyNumberFormat="1" applyFont="1" applyFill="1" applyBorder="1" applyAlignment="1">
      <alignment horizontal="right" vertical="center" wrapText="1"/>
    </xf>
    <xf numFmtId="3" fontId="7" fillId="0" borderId="27" xfId="0" applyNumberFormat="1" applyFont="1" applyFill="1" applyBorder="1" applyAlignment="1">
      <alignment horizontal="right" vertical="center" wrapText="1"/>
    </xf>
    <xf numFmtId="0" fontId="166" fillId="0" borderId="29" xfId="95" applyFont="1" applyBorder="1" applyAlignment="1">
      <alignment horizontal="center"/>
      <protection/>
    </xf>
    <xf numFmtId="0" fontId="166" fillId="0" borderId="21" xfId="95" applyFont="1" applyBorder="1" applyAlignment="1">
      <alignment horizontal="center"/>
      <protection/>
    </xf>
    <xf numFmtId="3" fontId="0" fillId="0" borderId="0" xfId="101" applyNumberFormat="1">
      <alignment/>
      <protection/>
    </xf>
    <xf numFmtId="178" fontId="0" fillId="0" borderId="0" xfId="101" applyNumberFormat="1">
      <alignment/>
      <protection/>
    </xf>
    <xf numFmtId="0" fontId="28" fillId="0" borderId="40" xfId="101" applyFont="1" applyFill="1" applyBorder="1" applyAlignment="1">
      <alignment horizontal="center" vertical="center" wrapText="1"/>
      <protection/>
    </xf>
    <xf numFmtId="0" fontId="27" fillId="0" borderId="28" xfId="101" applyFont="1" applyFill="1" applyBorder="1" applyAlignment="1">
      <alignment horizontal="center" vertical="center"/>
      <protection/>
    </xf>
    <xf numFmtId="0" fontId="27" fillId="0" borderId="41" xfId="101" applyFont="1" applyFill="1" applyBorder="1" applyAlignment="1">
      <alignment horizontal="center" vertical="center" wrapText="1"/>
      <protection/>
    </xf>
    <xf numFmtId="0" fontId="0" fillId="0" borderId="27" xfId="101" applyFill="1" applyBorder="1" applyAlignment="1">
      <alignment horizontal="center" vertical="center"/>
      <protection/>
    </xf>
    <xf numFmtId="0" fontId="0" fillId="0" borderId="21" xfId="101" applyFont="1" applyFill="1" applyBorder="1" applyAlignment="1" applyProtection="1">
      <alignment horizontal="left" vertical="center" wrapText="1" indent="1"/>
      <protection locked="0"/>
    </xf>
    <xf numFmtId="178" fontId="49" fillId="0" borderId="43" xfId="101" applyNumberFormat="1" applyFont="1" applyFill="1" applyBorder="1" applyAlignment="1" applyProtection="1">
      <alignment horizontal="right" vertical="center"/>
      <protection/>
    </xf>
    <xf numFmtId="0" fontId="0" fillId="0" borderId="22" xfId="101" applyFill="1" applyBorder="1" applyAlignment="1">
      <alignment horizontal="center" vertical="center"/>
      <protection/>
    </xf>
    <xf numFmtId="0" fontId="112" fillId="0" borderId="24" xfId="101" applyFont="1" applyFill="1" applyBorder="1" applyAlignment="1">
      <alignment horizontal="left" vertical="center" indent="5"/>
      <protection/>
    </xf>
    <xf numFmtId="178" fontId="52" fillId="0" borderId="25" xfId="101" applyNumberFormat="1" applyFont="1" applyFill="1" applyBorder="1" applyAlignment="1" applyProtection="1">
      <alignment horizontal="right" vertical="center"/>
      <protection locked="0"/>
    </xf>
    <xf numFmtId="178" fontId="52" fillId="0" borderId="59" xfId="101" applyNumberFormat="1" applyFont="1" applyFill="1" applyBorder="1" applyAlignment="1" applyProtection="1">
      <alignment horizontal="right" vertical="center"/>
      <protection locked="0"/>
    </xf>
    <xf numFmtId="0" fontId="0" fillId="0" borderId="30" xfId="101" applyFill="1" applyBorder="1" applyAlignment="1">
      <alignment horizontal="center" vertical="center"/>
      <protection/>
    </xf>
    <xf numFmtId="178" fontId="52" fillId="0" borderId="48" xfId="101" applyNumberFormat="1" applyFont="1" applyFill="1" applyBorder="1" applyAlignment="1" applyProtection="1">
      <alignment horizontal="right" vertical="center"/>
      <protection locked="0"/>
    </xf>
    <xf numFmtId="0" fontId="0" fillId="0" borderId="19" xfId="101" applyFill="1" applyBorder="1" applyAlignment="1">
      <alignment horizontal="center" vertical="center"/>
      <protection/>
    </xf>
    <xf numFmtId="0" fontId="0" fillId="0" borderId="20" xfId="101" applyFont="1" applyFill="1" applyBorder="1" applyAlignment="1" applyProtection="1">
      <alignment horizontal="left" vertical="center" wrapText="1" indent="1"/>
      <protection locked="0"/>
    </xf>
    <xf numFmtId="0" fontId="0" fillId="0" borderId="30" xfId="101" applyFont="1" applyFill="1" applyBorder="1" applyAlignment="1">
      <alignment horizontal="center" vertical="center"/>
      <protection/>
    </xf>
    <xf numFmtId="0" fontId="0" fillId="0" borderId="23" xfId="101" applyFont="1" applyFill="1" applyBorder="1" applyAlignment="1">
      <alignment horizontal="center" vertical="center"/>
      <protection/>
    </xf>
    <xf numFmtId="0" fontId="112" fillId="0" borderId="26" xfId="101" applyFont="1" applyFill="1" applyBorder="1" applyAlignment="1">
      <alignment horizontal="left" vertical="center" indent="5"/>
      <protection/>
    </xf>
    <xf numFmtId="0" fontId="168" fillId="0" borderId="27" xfId="95" applyFont="1" applyFill="1" applyBorder="1" applyAlignment="1">
      <alignment horizontal="center" vertical="center"/>
      <protection/>
    </xf>
    <xf numFmtId="0" fontId="166" fillId="0" borderId="21" xfId="95" applyFont="1" applyFill="1" applyBorder="1" applyAlignment="1">
      <alignment wrapText="1"/>
      <protection/>
    </xf>
    <xf numFmtId="3" fontId="166" fillId="0" borderId="21" xfId="95" applyNumberFormat="1" applyFont="1" applyFill="1" applyBorder="1">
      <alignment/>
      <protection/>
    </xf>
    <xf numFmtId="0" fontId="166" fillId="0" borderId="21" xfId="95" applyFont="1" applyFill="1" applyBorder="1">
      <alignment/>
      <protection/>
    </xf>
    <xf numFmtId="3" fontId="166" fillId="0" borderId="29" xfId="95" applyNumberFormat="1" applyFont="1" applyFill="1" applyBorder="1">
      <alignment/>
      <protection/>
    </xf>
    <xf numFmtId="0" fontId="166" fillId="0" borderId="29" xfId="95" applyFont="1" applyFill="1" applyBorder="1">
      <alignment/>
      <protection/>
    </xf>
    <xf numFmtId="3" fontId="166" fillId="0" borderId="26" xfId="95" applyNumberFormat="1" applyFont="1" applyFill="1" applyBorder="1">
      <alignment/>
      <protection/>
    </xf>
    <xf numFmtId="0" fontId="166" fillId="0" borderId="26" xfId="95" applyFont="1" applyFill="1" applyBorder="1">
      <alignment/>
      <protection/>
    </xf>
    <xf numFmtId="0" fontId="7" fillId="0" borderId="33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wrapText="1"/>
    </xf>
    <xf numFmtId="0" fontId="7" fillId="0" borderId="125" xfId="0" applyFont="1" applyBorder="1" applyAlignment="1">
      <alignment horizontal="left" wrapText="1"/>
    </xf>
    <xf numFmtId="0" fontId="7" fillId="0" borderId="70" xfId="0" applyFont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 wrapText="1"/>
    </xf>
    <xf numFmtId="0" fontId="7" fillId="0" borderId="94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7" fillId="0" borderId="52" xfId="0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wrapText="1"/>
    </xf>
    <xf numFmtId="0" fontId="7" fillId="0" borderId="33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7" xfId="0" applyFont="1" applyBorder="1" applyAlignment="1">
      <alignment horizontal="left" wrapText="1"/>
    </xf>
    <xf numFmtId="0" fontId="7" fillId="0" borderId="94" xfId="0" applyFont="1" applyBorder="1" applyAlignment="1">
      <alignment horizontal="left" wrapText="1"/>
    </xf>
    <xf numFmtId="49" fontId="40" fillId="0" borderId="0" xfId="0" applyNumberFormat="1" applyFont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49" fontId="3" fillId="0" borderId="38" xfId="0" applyNumberFormat="1" applyFont="1" applyBorder="1" applyAlignment="1">
      <alignment horizontal="left" vertical="center"/>
    </xf>
    <xf numFmtId="0" fontId="29" fillId="0" borderId="72" xfId="107" applyFont="1" applyBorder="1" applyAlignment="1">
      <alignment horizontal="left" vertical="center" wrapText="1"/>
      <protection/>
    </xf>
    <xf numFmtId="0" fontId="29" fillId="0" borderId="52" xfId="107" applyFont="1" applyBorder="1" applyAlignment="1">
      <alignment horizontal="left" vertical="center" wrapText="1"/>
      <protection/>
    </xf>
    <xf numFmtId="0" fontId="29" fillId="0" borderId="91" xfId="107" applyFont="1" applyBorder="1" applyAlignment="1">
      <alignment horizontal="left" vertical="center" wrapText="1"/>
      <protection/>
    </xf>
    <xf numFmtId="49" fontId="7" fillId="0" borderId="62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/>
    </xf>
    <xf numFmtId="49" fontId="3" fillId="0" borderId="68" xfId="0" applyNumberFormat="1" applyFont="1" applyBorder="1" applyAlignment="1">
      <alignment horizontal="center" vertical="center"/>
    </xf>
    <xf numFmtId="167" fontId="60" fillId="0" borderId="53" xfId="107" applyNumberFormat="1" applyFont="1" applyBorder="1" applyAlignment="1">
      <alignment horizontal="left" vertical="center"/>
      <protection/>
    </xf>
    <xf numFmtId="0" fontId="46" fillId="0" borderId="0" xfId="107" applyFont="1" applyAlignment="1">
      <alignment horizontal="center"/>
      <protection/>
    </xf>
    <xf numFmtId="0" fontId="65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/>
    </xf>
    <xf numFmtId="0" fontId="43" fillId="0" borderId="26" xfId="107" applyFont="1" applyBorder="1" applyAlignment="1">
      <alignment horizontal="left"/>
      <protection/>
    </xf>
    <xf numFmtId="0" fontId="29" fillId="0" borderId="66" xfId="107" applyFont="1" applyBorder="1" applyAlignment="1">
      <alignment horizontal="left" vertical="center" wrapText="1"/>
      <protection/>
    </xf>
    <xf numFmtId="0" fontId="29" fillId="0" borderId="33" xfId="107" applyFont="1" applyBorder="1" applyAlignment="1">
      <alignment horizontal="left" vertical="center" wrapText="1"/>
      <protection/>
    </xf>
    <xf numFmtId="0" fontId="29" fillId="0" borderId="90" xfId="107" applyFont="1" applyBorder="1" applyAlignment="1">
      <alignment horizontal="left" vertical="center" wrapText="1"/>
      <protection/>
    </xf>
    <xf numFmtId="0" fontId="29" fillId="0" borderId="74" xfId="107" applyFont="1" applyBorder="1" applyAlignment="1">
      <alignment horizontal="left" vertical="center" wrapText="1"/>
      <protection/>
    </xf>
    <xf numFmtId="0" fontId="29" fillId="0" borderId="67" xfId="107" applyFont="1" applyBorder="1" applyAlignment="1">
      <alignment horizontal="left" vertical="center" wrapText="1"/>
      <protection/>
    </xf>
    <xf numFmtId="0" fontId="29" fillId="0" borderId="93" xfId="107" applyFont="1" applyBorder="1" applyAlignment="1">
      <alignment horizontal="left" vertical="center" wrapText="1"/>
      <protection/>
    </xf>
    <xf numFmtId="0" fontId="27" fillId="0" borderId="20" xfId="107" applyFont="1" applyBorder="1" applyAlignment="1">
      <alignment horizontal="left"/>
      <protection/>
    </xf>
    <xf numFmtId="0" fontId="29" fillId="0" borderId="24" xfId="107" applyFont="1" applyBorder="1" applyAlignment="1">
      <alignment horizontal="left"/>
      <protection/>
    </xf>
    <xf numFmtId="0" fontId="43" fillId="0" borderId="24" xfId="107" applyFont="1" applyBorder="1" applyAlignment="1">
      <alignment horizontal="left"/>
      <protection/>
    </xf>
    <xf numFmtId="0" fontId="46" fillId="0" borderId="0" xfId="107" applyFont="1" applyAlignment="1">
      <alignment horizontal="center" wrapText="1"/>
      <protection/>
    </xf>
    <xf numFmtId="0" fontId="60" fillId="0" borderId="0" xfId="107" applyFont="1" applyAlignment="1">
      <alignment horizontal="left"/>
      <protection/>
    </xf>
    <xf numFmtId="0" fontId="27" fillId="0" borderId="61" xfId="107" applyFont="1" applyBorder="1" applyAlignment="1">
      <alignment horizontal="left" vertical="center" wrapText="1"/>
      <protection/>
    </xf>
    <xf numFmtId="0" fontId="27" fillId="0" borderId="38" xfId="107" applyFont="1" applyBorder="1" applyAlignment="1">
      <alignment horizontal="left" vertical="center" wrapText="1"/>
      <protection/>
    </xf>
    <xf numFmtId="0" fontId="27" fillId="0" borderId="49" xfId="107" applyFont="1" applyBorder="1" applyAlignment="1">
      <alignment horizontal="left" vertical="center" wrapText="1"/>
      <protection/>
    </xf>
    <xf numFmtId="167" fontId="60" fillId="0" borderId="0" xfId="107" applyNumberFormat="1" applyFont="1" applyAlignment="1">
      <alignment horizontal="left" vertical="center"/>
      <protection/>
    </xf>
    <xf numFmtId="0" fontId="29" fillId="0" borderId="73" xfId="107" applyFont="1" applyBorder="1" applyAlignment="1">
      <alignment horizontal="left" vertical="center" wrapText="1"/>
      <protection/>
    </xf>
    <xf numFmtId="0" fontId="29" fillId="0" borderId="53" xfId="107" applyFont="1" applyBorder="1" applyAlignment="1">
      <alignment horizontal="left" vertical="center" wrapText="1"/>
      <protection/>
    </xf>
    <xf numFmtId="0" fontId="29" fillId="0" borderId="92" xfId="107" applyFont="1" applyBorder="1" applyAlignment="1">
      <alignment horizontal="left" vertical="center" wrapText="1"/>
      <protection/>
    </xf>
    <xf numFmtId="0" fontId="21" fillId="0" borderId="0" xfId="104" applyFont="1" applyAlignment="1">
      <alignment horizontal="center" vertical="center"/>
      <protection/>
    </xf>
    <xf numFmtId="0" fontId="22" fillId="0" borderId="53" xfId="104" applyFont="1" applyBorder="1" applyAlignment="1">
      <alignment horizontal="center" vertical="center"/>
      <protection/>
    </xf>
    <xf numFmtId="0" fontId="22" fillId="0" borderId="0" xfId="104" applyFont="1" applyAlignment="1">
      <alignment horizontal="center" vertical="center"/>
      <protection/>
    </xf>
    <xf numFmtId="0" fontId="91" fillId="0" borderId="0" xfId="104" applyFont="1" applyAlignment="1">
      <alignment horizontal="right" vertical="center"/>
      <protection/>
    </xf>
    <xf numFmtId="3" fontId="92" fillId="0" borderId="0" xfId="0" applyNumberFormat="1" applyFont="1" applyAlignment="1">
      <alignment horizontal="right"/>
    </xf>
    <xf numFmtId="49" fontId="7" fillId="0" borderId="67" xfId="0" applyNumberFormat="1" applyFont="1" applyBorder="1" applyAlignment="1">
      <alignment horizontal="left" vertical="center" wrapText="1"/>
    </xf>
    <xf numFmtId="49" fontId="7" fillId="0" borderId="94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/>
    </xf>
    <xf numFmtId="3" fontId="93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167" fontId="85" fillId="0" borderId="0" xfId="0" applyNumberFormat="1" applyFont="1" applyAlignment="1">
      <alignment horizontal="right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6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/>
    </xf>
    <xf numFmtId="0" fontId="49" fillId="0" borderId="61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3" fillId="0" borderId="31" xfId="104" applyFont="1" applyBorder="1" applyAlignment="1">
      <alignment horizontal="center" vertical="center"/>
      <protection/>
    </xf>
    <xf numFmtId="0" fontId="3" fillId="0" borderId="49" xfId="104" applyFont="1" applyBorder="1" applyAlignment="1">
      <alignment horizontal="center" vertical="center"/>
      <protection/>
    </xf>
    <xf numFmtId="0" fontId="18" fillId="0" borderId="0" xfId="104" applyFont="1" applyAlignment="1">
      <alignment horizontal="center"/>
      <protection/>
    </xf>
    <xf numFmtId="0" fontId="12" fillId="0" borderId="0" xfId="104" applyFont="1" applyAlignment="1">
      <alignment horizontal="center"/>
      <protection/>
    </xf>
    <xf numFmtId="0" fontId="17" fillId="0" borderId="0" xfId="104" applyFont="1" applyAlignment="1">
      <alignment horizontal="right"/>
      <protection/>
    </xf>
    <xf numFmtId="0" fontId="17" fillId="0" borderId="53" xfId="104" applyFont="1" applyBorder="1" applyAlignment="1">
      <alignment horizontal="right"/>
      <protection/>
    </xf>
    <xf numFmtId="0" fontId="77" fillId="0" borderId="38" xfId="106" applyFont="1" applyBorder="1" applyAlignment="1">
      <alignment horizontal="center" vertical="center" wrapText="1"/>
      <protection/>
    </xf>
    <xf numFmtId="166" fontId="75" fillId="0" borderId="66" xfId="106" applyNumberFormat="1" applyFont="1" applyBorder="1" applyAlignment="1">
      <alignment horizontal="left" wrapText="1"/>
      <protection/>
    </xf>
    <xf numFmtId="166" fontId="75" fillId="0" borderId="70" xfId="106" applyNumberFormat="1" applyFont="1" applyBorder="1" applyAlignment="1">
      <alignment horizontal="left" wrapText="1"/>
      <protection/>
    </xf>
    <xf numFmtId="166" fontId="75" fillId="0" borderId="74" xfId="106" applyNumberFormat="1" applyFont="1" applyBorder="1" applyAlignment="1">
      <alignment horizontal="left" wrapText="1"/>
      <protection/>
    </xf>
    <xf numFmtId="166" fontId="75" fillId="0" borderId="67" xfId="106" applyNumberFormat="1" applyFont="1" applyBorder="1" applyAlignment="1">
      <alignment horizontal="left" wrapText="1"/>
      <protection/>
    </xf>
    <xf numFmtId="166" fontId="75" fillId="0" borderId="33" xfId="106" applyNumberFormat="1" applyFont="1" applyBorder="1" applyAlignment="1">
      <alignment horizontal="left" wrapText="1"/>
      <protection/>
    </xf>
    <xf numFmtId="0" fontId="75" fillId="0" borderId="33" xfId="106" applyFont="1" applyBorder="1" applyAlignment="1">
      <alignment horizontal="left"/>
      <protection/>
    </xf>
    <xf numFmtId="0" fontId="75" fillId="0" borderId="66" xfId="106" applyFont="1" applyBorder="1" applyAlignment="1">
      <alignment horizontal="left" vertical="center" wrapText="1"/>
      <protection/>
    </xf>
    <xf numFmtId="0" fontId="75" fillId="0" borderId="33" xfId="106" applyFont="1" applyBorder="1" applyAlignment="1">
      <alignment horizontal="left" vertical="center" wrapText="1"/>
      <protection/>
    </xf>
    <xf numFmtId="0" fontId="75" fillId="0" borderId="52" xfId="106" applyFont="1" applyBorder="1" applyAlignment="1">
      <alignment horizontal="left"/>
      <protection/>
    </xf>
    <xf numFmtId="3" fontId="90" fillId="0" borderId="0" xfId="104" applyNumberFormat="1" applyFont="1" applyAlignment="1">
      <alignment horizontal="right"/>
      <protection/>
    </xf>
    <xf numFmtId="0" fontId="72" fillId="0" borderId="0" xfId="104" applyFont="1" applyAlignment="1">
      <alignment horizontal="center"/>
      <protection/>
    </xf>
    <xf numFmtId="0" fontId="73" fillId="0" borderId="0" xfId="104" applyFont="1" applyAlignment="1">
      <alignment horizontal="center"/>
      <protection/>
    </xf>
    <xf numFmtId="0" fontId="19" fillId="0" borderId="0" xfId="104" applyFont="1" applyAlignment="1">
      <alignment horizontal="center"/>
      <protection/>
    </xf>
    <xf numFmtId="166" fontId="74" fillId="0" borderId="38" xfId="106" applyNumberFormat="1" applyFont="1" applyBorder="1" applyAlignment="1">
      <alignment horizontal="center" vertical="center" wrapText="1"/>
      <protection/>
    </xf>
    <xf numFmtId="3" fontId="90" fillId="0" borderId="53" xfId="104" applyNumberFormat="1" applyFont="1" applyBorder="1" applyAlignment="1">
      <alignment horizontal="right"/>
      <protection/>
    </xf>
    <xf numFmtId="3" fontId="74" fillId="0" borderId="40" xfId="106" applyNumberFormat="1" applyFont="1" applyBorder="1" applyAlignment="1">
      <alignment horizontal="center" vertical="center" wrapText="1"/>
      <protection/>
    </xf>
    <xf numFmtId="3" fontId="74" fillId="0" borderId="28" xfId="106" applyNumberFormat="1" applyFont="1" applyBorder="1" applyAlignment="1">
      <alignment horizontal="center" vertical="center" wrapText="1"/>
      <protection/>
    </xf>
    <xf numFmtId="3" fontId="74" fillId="0" borderId="41" xfId="106" applyNumberFormat="1" applyFont="1" applyBorder="1" applyAlignment="1">
      <alignment horizontal="center" vertical="center" wrapText="1"/>
      <protection/>
    </xf>
    <xf numFmtId="0" fontId="78" fillId="0" borderId="53" xfId="104" applyFont="1" applyBorder="1" applyAlignment="1">
      <alignment horizontal="center" vertical="center" wrapText="1"/>
      <protection/>
    </xf>
    <xf numFmtId="0" fontId="23" fillId="50" borderId="79" xfId="104" applyFont="1" applyFill="1" applyBorder="1" applyAlignment="1">
      <alignment horizontal="center" vertical="center" wrapText="1"/>
      <protection/>
    </xf>
    <xf numFmtId="0" fontId="23" fillId="50" borderId="32" xfId="104" applyFont="1" applyFill="1" applyBorder="1" applyAlignment="1">
      <alignment horizontal="center" vertical="center" wrapText="1"/>
      <protection/>
    </xf>
    <xf numFmtId="0" fontId="23" fillId="50" borderId="86" xfId="104" applyFont="1" applyFill="1" applyBorder="1" applyAlignment="1">
      <alignment horizontal="center" vertical="center" wrapText="1"/>
      <protection/>
    </xf>
    <xf numFmtId="0" fontId="23" fillId="50" borderId="39" xfId="104" applyFont="1" applyFill="1" applyBorder="1" applyAlignment="1">
      <alignment horizontal="center" vertical="center" wrapText="1"/>
      <protection/>
    </xf>
    <xf numFmtId="0" fontId="23" fillId="50" borderId="51" xfId="104" applyFont="1" applyFill="1" applyBorder="1" applyAlignment="1">
      <alignment horizontal="center" vertical="center" wrapText="1"/>
      <protection/>
    </xf>
    <xf numFmtId="0" fontId="23" fillId="50" borderId="126" xfId="104" applyFont="1" applyFill="1" applyBorder="1" applyAlignment="1">
      <alignment horizontal="center" vertical="center" wrapText="1"/>
      <protection/>
    </xf>
    <xf numFmtId="3" fontId="23" fillId="50" borderId="71" xfId="104" applyNumberFormat="1" applyFont="1" applyFill="1" applyBorder="1" applyAlignment="1">
      <alignment horizontal="center" vertical="center" wrapText="1"/>
      <protection/>
    </xf>
    <xf numFmtId="3" fontId="23" fillId="50" borderId="68" xfId="104" applyNumberFormat="1" applyFont="1" applyFill="1" applyBorder="1" applyAlignment="1">
      <alignment horizontal="center" vertical="center" wrapText="1"/>
      <protection/>
    </xf>
    <xf numFmtId="3" fontId="23" fillId="50" borderId="56" xfId="104" applyNumberFormat="1" applyFont="1" applyFill="1" applyBorder="1" applyAlignment="1">
      <alignment horizontal="center" vertical="center" wrapText="1"/>
      <protection/>
    </xf>
    <xf numFmtId="3" fontId="23" fillId="50" borderId="95" xfId="104" applyNumberFormat="1" applyFont="1" applyFill="1" applyBorder="1" applyAlignment="1">
      <alignment horizontal="center" vertical="center" wrapText="1"/>
      <protection/>
    </xf>
    <xf numFmtId="3" fontId="23" fillId="50" borderId="0" xfId="104" applyNumberFormat="1" applyFont="1" applyFill="1" applyAlignment="1">
      <alignment horizontal="center" vertical="center" wrapText="1"/>
      <protection/>
    </xf>
    <xf numFmtId="3" fontId="23" fillId="50" borderId="89" xfId="104" applyNumberFormat="1" applyFont="1" applyFill="1" applyBorder="1" applyAlignment="1">
      <alignment horizontal="center" vertical="center" wrapText="1"/>
      <protection/>
    </xf>
    <xf numFmtId="3" fontId="23" fillId="50" borderId="127" xfId="104" applyNumberFormat="1" applyFont="1" applyFill="1" applyBorder="1" applyAlignment="1">
      <alignment horizontal="center" vertical="center" wrapText="1"/>
      <protection/>
    </xf>
    <xf numFmtId="3" fontId="23" fillId="50" borderId="128" xfId="104" applyNumberFormat="1" applyFont="1" applyFill="1" applyBorder="1" applyAlignment="1">
      <alignment horizontal="center" vertical="center" wrapText="1"/>
      <protection/>
    </xf>
    <xf numFmtId="3" fontId="23" fillId="50" borderId="129" xfId="104" applyNumberFormat="1" applyFont="1" applyFill="1" applyBorder="1" applyAlignment="1">
      <alignment horizontal="center" vertical="center" wrapText="1"/>
      <protection/>
    </xf>
    <xf numFmtId="3" fontId="23" fillId="50" borderId="75" xfId="104" applyNumberFormat="1" applyFont="1" applyFill="1" applyBorder="1" applyAlignment="1">
      <alignment horizontal="center" vertical="center" wrapText="1"/>
      <protection/>
    </xf>
    <xf numFmtId="3" fontId="23" fillId="50" borderId="88" xfId="104" applyNumberFormat="1" applyFont="1" applyFill="1" applyBorder="1" applyAlignment="1">
      <alignment horizontal="center" vertical="center" wrapText="1"/>
      <protection/>
    </xf>
    <xf numFmtId="3" fontId="23" fillId="50" borderId="130" xfId="104" applyNumberFormat="1" applyFont="1" applyFill="1" applyBorder="1" applyAlignment="1">
      <alignment horizontal="center" vertical="center" wrapText="1"/>
      <protection/>
    </xf>
    <xf numFmtId="3" fontId="90" fillId="0" borderId="0" xfId="104" applyNumberFormat="1" applyFont="1" applyAlignment="1">
      <alignment horizontal="right" vertical="center"/>
      <protection/>
    </xf>
    <xf numFmtId="0" fontId="78" fillId="0" borderId="0" xfId="104" applyFont="1" applyAlignment="1">
      <alignment horizontal="center" vertical="center" wrapText="1"/>
      <protection/>
    </xf>
    <xf numFmtId="0" fontId="78" fillId="0" borderId="0" xfId="104" applyFont="1" applyAlignment="1">
      <alignment horizontal="center" vertical="center"/>
      <protection/>
    </xf>
    <xf numFmtId="0" fontId="12" fillId="0" borderId="0" xfId="104" applyFont="1" applyAlignment="1">
      <alignment horizontal="center" vertical="center"/>
      <protection/>
    </xf>
    <xf numFmtId="0" fontId="76" fillId="0" borderId="0" xfId="104" applyFont="1" applyAlignment="1">
      <alignment horizontal="center" vertical="center"/>
      <protection/>
    </xf>
    <xf numFmtId="0" fontId="94" fillId="0" borderId="0" xfId="104" applyFont="1" applyAlignment="1">
      <alignment horizontal="right"/>
      <protection/>
    </xf>
    <xf numFmtId="0" fontId="14" fillId="0" borderId="0" xfId="104" applyFont="1" applyAlignment="1">
      <alignment horizontal="center" wrapText="1"/>
      <protection/>
    </xf>
    <xf numFmtId="0" fontId="12" fillId="0" borderId="47" xfId="104" applyFont="1" applyBorder="1" applyAlignment="1">
      <alignment horizontal="center" vertical="center" wrapText="1"/>
      <protection/>
    </xf>
    <xf numFmtId="0" fontId="12" fillId="0" borderId="27" xfId="104" applyFont="1" applyBorder="1" applyAlignment="1">
      <alignment horizontal="center" vertical="center" wrapText="1"/>
      <protection/>
    </xf>
    <xf numFmtId="0" fontId="12" fillId="0" borderId="72" xfId="104" applyFont="1" applyBorder="1" applyAlignment="1">
      <alignment horizontal="center" vertical="center"/>
      <protection/>
    </xf>
    <xf numFmtId="0" fontId="12" fillId="0" borderId="52" xfId="104" applyFont="1" applyBorder="1" applyAlignment="1">
      <alignment horizontal="center" vertical="center"/>
      <protection/>
    </xf>
    <xf numFmtId="0" fontId="12" fillId="0" borderId="19" xfId="104" applyFont="1" applyBorder="1" applyAlignment="1">
      <alignment horizontal="center" vertical="center"/>
      <protection/>
    </xf>
    <xf numFmtId="0" fontId="12" fillId="0" borderId="20" xfId="104" applyFont="1" applyBorder="1" applyAlignment="1">
      <alignment horizontal="center" vertical="center"/>
      <protection/>
    </xf>
    <xf numFmtId="0" fontId="12" fillId="0" borderId="43" xfId="104" applyFont="1" applyBorder="1" applyAlignment="1">
      <alignment horizontal="center" vertical="center"/>
      <protection/>
    </xf>
    <xf numFmtId="0" fontId="12" fillId="0" borderId="66" xfId="104" applyFont="1" applyBorder="1" applyAlignment="1">
      <alignment horizontal="center" vertical="center"/>
      <protection/>
    </xf>
    <xf numFmtId="0" fontId="12" fillId="0" borderId="33" xfId="104" applyFont="1" applyBorder="1" applyAlignment="1">
      <alignment horizontal="center" vertical="center"/>
      <protection/>
    </xf>
    <xf numFmtId="0" fontId="12" fillId="0" borderId="90" xfId="104" applyFont="1" applyBorder="1" applyAlignment="1">
      <alignment horizontal="center" vertical="center"/>
      <protection/>
    </xf>
    <xf numFmtId="0" fontId="12" fillId="0" borderId="22" xfId="104" applyFont="1" applyBorder="1" applyAlignment="1">
      <alignment horizontal="center" vertical="center"/>
      <protection/>
    </xf>
    <xf numFmtId="0" fontId="12" fillId="0" borderId="24" xfId="104" applyFont="1" applyBorder="1" applyAlignment="1">
      <alignment horizontal="center" vertical="center"/>
      <protection/>
    </xf>
    <xf numFmtId="0" fontId="12" fillId="0" borderId="25" xfId="104" applyFont="1" applyBorder="1" applyAlignment="1">
      <alignment horizontal="center" vertical="center"/>
      <protection/>
    </xf>
    <xf numFmtId="0" fontId="12" fillId="1" borderId="24" xfId="104" applyFont="1" applyFill="1" applyBorder="1" applyAlignment="1">
      <alignment horizontal="center" vertical="center"/>
      <protection/>
    </xf>
    <xf numFmtId="0" fontId="12" fillId="1" borderId="66" xfId="104" applyFont="1" applyFill="1" applyBorder="1" applyAlignment="1">
      <alignment horizontal="center" vertical="center"/>
      <protection/>
    </xf>
    <xf numFmtId="0" fontId="12" fillId="1" borderId="25" xfId="104" applyFont="1" applyFill="1" applyBorder="1" applyAlignment="1">
      <alignment horizontal="center" vertical="center"/>
      <protection/>
    </xf>
    <xf numFmtId="0" fontId="12" fillId="1" borderId="47" xfId="104" applyFont="1" applyFill="1" applyBorder="1" applyAlignment="1">
      <alignment horizontal="center" vertical="center" wrapText="1"/>
      <protection/>
    </xf>
    <xf numFmtId="0" fontId="12" fillId="1" borderId="27" xfId="104" applyFont="1" applyFill="1" applyBorder="1" applyAlignment="1">
      <alignment horizontal="center" vertical="center" wrapText="1"/>
      <protection/>
    </xf>
    <xf numFmtId="0" fontId="12" fillId="1" borderId="72" xfId="104" applyFont="1" applyFill="1" applyBorder="1" applyAlignment="1">
      <alignment horizontal="center" vertical="center"/>
      <protection/>
    </xf>
    <xf numFmtId="0" fontId="12" fillId="1" borderId="52" xfId="104" applyFont="1" applyFill="1" applyBorder="1" applyAlignment="1">
      <alignment horizontal="center" vertical="center"/>
      <protection/>
    </xf>
    <xf numFmtId="0" fontId="12" fillId="1" borderId="19" xfId="104" applyFont="1" applyFill="1" applyBorder="1" applyAlignment="1">
      <alignment horizontal="center" vertical="center"/>
      <protection/>
    </xf>
    <xf numFmtId="0" fontId="12" fillId="1" borderId="20" xfId="104" applyFont="1" applyFill="1" applyBorder="1" applyAlignment="1">
      <alignment horizontal="center" vertical="center"/>
      <protection/>
    </xf>
    <xf numFmtId="0" fontId="12" fillId="1" borderId="43" xfId="104" applyFont="1" applyFill="1" applyBorder="1" applyAlignment="1">
      <alignment horizontal="center" vertical="center"/>
      <protection/>
    </xf>
    <xf numFmtId="0" fontId="12" fillId="1" borderId="33" xfId="104" applyFont="1" applyFill="1" applyBorder="1" applyAlignment="1">
      <alignment horizontal="center" vertical="center"/>
      <protection/>
    </xf>
    <xf numFmtId="0" fontId="12" fillId="1" borderId="90" xfId="104" applyFont="1" applyFill="1" applyBorder="1" applyAlignment="1">
      <alignment horizontal="center" vertical="center"/>
      <protection/>
    </xf>
    <xf numFmtId="0" fontId="12" fillId="1" borderId="22" xfId="104" applyFont="1" applyFill="1" applyBorder="1" applyAlignment="1">
      <alignment horizontal="center" vertical="center"/>
      <protection/>
    </xf>
    <xf numFmtId="0" fontId="21" fillId="0" borderId="0" xfId="104" applyFont="1" applyAlignment="1">
      <alignment horizontal="center"/>
      <protection/>
    </xf>
    <xf numFmtId="0" fontId="14" fillId="0" borderId="0" xfId="104" applyFont="1" applyAlignment="1">
      <alignment horizontal="center"/>
      <protection/>
    </xf>
    <xf numFmtId="0" fontId="90" fillId="0" borderId="0" xfId="97" applyFont="1" applyFill="1" applyAlignment="1">
      <alignment horizontal="right"/>
      <protection/>
    </xf>
    <xf numFmtId="0" fontId="13" fillId="0" borderId="0" xfId="97" applyFont="1" applyFill="1" applyAlignment="1">
      <alignment horizontal="center"/>
      <protection/>
    </xf>
    <xf numFmtId="0" fontId="90" fillId="0" borderId="35" xfId="97" applyFont="1" applyFill="1" applyBorder="1" applyAlignment="1">
      <alignment horizontal="right"/>
      <protection/>
    </xf>
    <xf numFmtId="0" fontId="13" fillId="0" borderId="24" xfId="97" applyFont="1" applyFill="1" applyBorder="1" applyAlignment="1">
      <alignment horizontal="center" wrapText="1"/>
      <protection/>
    </xf>
    <xf numFmtId="0" fontId="46" fillId="0" borderId="19" xfId="108" applyFont="1" applyFill="1" applyBorder="1" applyAlignment="1" applyProtection="1">
      <alignment horizontal="center" vertical="center" wrapText="1"/>
      <protection/>
    </xf>
    <xf numFmtId="0" fontId="46" fillId="0" borderId="22" xfId="108" applyFont="1" applyFill="1" applyBorder="1" applyAlignment="1" applyProtection="1">
      <alignment horizontal="center" vertical="center" wrapText="1"/>
      <protection/>
    </xf>
    <xf numFmtId="0" fontId="60" fillId="0" borderId="20" xfId="108" applyFont="1" applyFill="1" applyBorder="1" applyAlignment="1" applyProtection="1">
      <alignment horizontal="center" vertical="center" textRotation="90"/>
      <protection/>
    </xf>
    <xf numFmtId="0" fontId="60" fillId="0" borderId="24" xfId="108" applyFont="1" applyFill="1" applyBorder="1" applyAlignment="1" applyProtection="1">
      <alignment horizontal="center" vertical="center" textRotation="90"/>
      <protection/>
    </xf>
    <xf numFmtId="0" fontId="31" fillId="0" borderId="43" xfId="108" applyFont="1" applyFill="1" applyBorder="1" applyAlignment="1" applyProtection="1">
      <alignment horizontal="center" vertical="center" wrapText="1"/>
      <protection/>
    </xf>
    <xf numFmtId="0" fontId="31" fillId="0" borderId="25" xfId="108" applyFont="1" applyFill="1" applyBorder="1" applyAlignment="1" applyProtection="1">
      <alignment horizontal="center" vertical="center"/>
      <protection/>
    </xf>
    <xf numFmtId="0" fontId="114" fillId="0" borderId="0" xfId="109" applyFont="1" applyFill="1" applyBorder="1" applyAlignment="1" applyProtection="1">
      <alignment horizontal="center" vertical="center" wrapText="1"/>
      <protection/>
    </xf>
    <xf numFmtId="0" fontId="115" fillId="0" borderId="0" xfId="109" applyFont="1" applyFill="1" applyBorder="1" applyAlignment="1" applyProtection="1">
      <alignment horizontal="right"/>
      <protection/>
    </xf>
    <xf numFmtId="0" fontId="114" fillId="0" borderId="100" xfId="109" applyFont="1" applyFill="1" applyBorder="1" applyAlignment="1" applyProtection="1">
      <alignment horizontal="center" vertical="center" wrapText="1"/>
      <protection/>
    </xf>
    <xf numFmtId="0" fontId="31" fillId="0" borderId="101" xfId="108" applyFont="1" applyFill="1" applyBorder="1" applyAlignment="1" applyProtection="1">
      <alignment horizontal="center" vertical="center" textRotation="90"/>
      <protection/>
    </xf>
    <xf numFmtId="0" fontId="115" fillId="0" borderId="101" xfId="109" applyFont="1" applyFill="1" applyBorder="1" applyAlignment="1" applyProtection="1">
      <alignment horizontal="center" vertical="center" wrapText="1"/>
      <protection/>
    </xf>
    <xf numFmtId="0" fontId="115" fillId="0" borderId="115" xfId="109" applyFont="1" applyFill="1" applyBorder="1" applyAlignment="1" applyProtection="1">
      <alignment horizontal="center" wrapText="1"/>
      <protection/>
    </xf>
    <xf numFmtId="0" fontId="69" fillId="0" borderId="0" xfId="109" applyFont="1" applyFill="1" applyBorder="1" applyAlignment="1" applyProtection="1">
      <alignment horizontal="center" vertical="center" wrapText="1"/>
      <protection/>
    </xf>
    <xf numFmtId="0" fontId="117" fillId="0" borderId="0" xfId="109" applyFont="1" applyFill="1" applyBorder="1" applyAlignment="1" applyProtection="1">
      <alignment horizontal="right"/>
      <protection/>
    </xf>
    <xf numFmtId="0" fontId="69" fillId="0" borderId="100" xfId="109" applyFont="1" applyFill="1" applyBorder="1" applyAlignment="1" applyProtection="1">
      <alignment horizontal="center" vertical="center" wrapText="1"/>
      <protection/>
    </xf>
    <xf numFmtId="0" fontId="62" fillId="0" borderId="101" xfId="108" applyFont="1" applyFill="1" applyBorder="1" applyAlignment="1" applyProtection="1">
      <alignment horizontal="center" vertical="center" textRotation="90"/>
      <protection/>
    </xf>
    <xf numFmtId="0" fontId="117" fillId="0" borderId="101" xfId="109" applyFont="1" applyFill="1" applyBorder="1" applyAlignment="1" applyProtection="1">
      <alignment horizontal="center" vertical="center" wrapText="1"/>
      <protection/>
    </xf>
    <xf numFmtId="0" fontId="117" fillId="0" borderId="115" xfId="109" applyFont="1" applyFill="1" applyBorder="1" applyAlignment="1" applyProtection="1">
      <alignment horizontal="center" wrapText="1"/>
      <protection/>
    </xf>
    <xf numFmtId="0" fontId="69" fillId="0" borderId="0" xfId="109" applyFont="1" applyFill="1" applyBorder="1" applyAlignment="1">
      <alignment horizontal="center" vertical="center" wrapText="1"/>
      <protection/>
    </xf>
    <xf numFmtId="0" fontId="62" fillId="0" borderId="0" xfId="108" applyFont="1" applyFill="1" applyBorder="1" applyAlignment="1" applyProtection="1">
      <alignment horizontal="right" vertical="center"/>
      <protection/>
    </xf>
    <xf numFmtId="0" fontId="69" fillId="0" borderId="108" xfId="109" applyFont="1" applyFill="1" applyBorder="1" applyAlignment="1">
      <alignment horizontal="left"/>
      <protection/>
    </xf>
    <xf numFmtId="0" fontId="42" fillId="0" borderId="0" xfId="107" applyFont="1" applyAlignment="1">
      <alignment horizontal="right"/>
      <protection/>
    </xf>
    <xf numFmtId="167" fontId="83" fillId="0" borderId="0" xfId="107" applyNumberFormat="1" applyFont="1" applyAlignment="1">
      <alignment horizontal="center" vertical="center" wrapText="1"/>
      <protection/>
    </xf>
    <xf numFmtId="0" fontId="60" fillId="0" borderId="53" xfId="0" applyFont="1" applyBorder="1" applyAlignment="1">
      <alignment horizontal="right"/>
    </xf>
    <xf numFmtId="0" fontId="46" fillId="0" borderId="19" xfId="107" applyFont="1" applyFill="1" applyBorder="1" applyAlignment="1">
      <alignment horizontal="center" vertical="center" wrapText="1"/>
      <protection/>
    </xf>
    <xf numFmtId="0" fontId="46" fillId="0" borderId="30" xfId="107" applyFont="1" applyFill="1" applyBorder="1" applyAlignment="1">
      <alignment horizontal="center" vertical="center" wrapText="1"/>
      <protection/>
    </xf>
    <xf numFmtId="0" fontId="46" fillId="0" borderId="20" xfId="107" applyFont="1" applyFill="1" applyBorder="1" applyAlignment="1">
      <alignment horizontal="center" vertical="center" wrapText="1"/>
      <protection/>
    </xf>
    <xf numFmtId="0" fontId="46" fillId="0" borderId="29" xfId="107" applyFont="1" applyFill="1" applyBorder="1" applyAlignment="1">
      <alignment horizontal="center" vertical="center" wrapText="1"/>
      <protection/>
    </xf>
    <xf numFmtId="0" fontId="46" fillId="0" borderId="72" xfId="107" applyFont="1" applyFill="1" applyBorder="1" applyAlignment="1">
      <alignment horizontal="center" vertical="center" wrapText="1"/>
      <protection/>
    </xf>
    <xf numFmtId="0" fontId="46" fillId="0" borderId="52" xfId="107" applyFont="1" applyFill="1" applyBorder="1" applyAlignment="1">
      <alignment horizontal="center" vertical="center" wrapText="1"/>
      <protection/>
    </xf>
    <xf numFmtId="0" fontId="46" fillId="0" borderId="125" xfId="107" applyFont="1" applyFill="1" applyBorder="1" applyAlignment="1">
      <alignment horizontal="center" vertical="center" wrapText="1"/>
      <protection/>
    </xf>
    <xf numFmtId="0" fontId="46" fillId="0" borderId="40" xfId="107" applyFont="1" applyBorder="1" applyAlignment="1">
      <alignment horizontal="left" vertical="center"/>
      <protection/>
    </xf>
    <xf numFmtId="0" fontId="46" fillId="0" borderId="28" xfId="107" applyFont="1" applyBorder="1" applyAlignment="1">
      <alignment horizontal="left" vertical="center"/>
      <protection/>
    </xf>
    <xf numFmtId="0" fontId="45" fillId="0" borderId="68" xfId="107" applyFont="1" applyBorder="1" applyAlignment="1">
      <alignment horizontal="justify" vertical="center" wrapText="1"/>
      <protection/>
    </xf>
    <xf numFmtId="0" fontId="44" fillId="0" borderId="53" xfId="0" applyFont="1" applyBorder="1" applyAlignment="1">
      <alignment horizontal="right" vertical="center"/>
    </xf>
    <xf numFmtId="167" fontId="81" fillId="0" borderId="0" xfId="107" applyNumberFormat="1" applyFont="1" applyAlignment="1">
      <alignment horizontal="center" vertical="center" wrapText="1"/>
      <protection/>
    </xf>
    <xf numFmtId="0" fontId="43" fillId="0" borderId="0" xfId="107" applyFont="1" applyAlignment="1">
      <alignment horizontal="right" vertical="center"/>
      <protection/>
    </xf>
    <xf numFmtId="0" fontId="86" fillId="0" borderId="0" xfId="103" applyFont="1" applyAlignment="1">
      <alignment horizontal="center" vertical="center"/>
      <protection/>
    </xf>
    <xf numFmtId="167" fontId="42" fillId="0" borderId="53" xfId="103" applyNumberFormat="1" applyFont="1" applyBorder="1" applyAlignment="1">
      <alignment horizontal="right" vertical="center"/>
      <protection/>
    </xf>
    <xf numFmtId="167" fontId="27" fillId="0" borderId="65" xfId="103" applyNumberFormat="1" applyFont="1" applyBorder="1" applyAlignment="1">
      <alignment horizontal="center" vertical="top" wrapText="1"/>
      <protection/>
    </xf>
    <xf numFmtId="167" fontId="27" fillId="0" borderId="64" xfId="103" applyNumberFormat="1" applyFont="1" applyBorder="1" applyAlignment="1">
      <alignment horizontal="center" vertical="top" wrapText="1"/>
      <protection/>
    </xf>
    <xf numFmtId="167" fontId="46" fillId="0" borderId="39" xfId="103" applyNumberFormat="1" applyFont="1" applyBorder="1" applyAlignment="1">
      <alignment horizontal="center" vertical="center"/>
      <protection/>
    </xf>
    <xf numFmtId="167" fontId="46" fillId="0" borderId="45" xfId="103" applyNumberFormat="1" applyFont="1" applyBorder="1" applyAlignment="1">
      <alignment horizontal="center" vertical="center"/>
      <protection/>
    </xf>
    <xf numFmtId="167" fontId="46" fillId="0" borderId="39" xfId="103" applyNumberFormat="1" applyFont="1" applyBorder="1" applyAlignment="1">
      <alignment horizontal="center" vertical="top" wrapText="1"/>
      <protection/>
    </xf>
    <xf numFmtId="167" fontId="46" fillId="0" borderId="45" xfId="103" applyNumberFormat="1" applyFont="1" applyBorder="1" applyAlignment="1">
      <alignment horizontal="center" vertical="top" wrapText="1"/>
      <protection/>
    </xf>
    <xf numFmtId="167" fontId="46" fillId="0" borderId="55" xfId="103" applyNumberFormat="1" applyFont="1" applyBorder="1" applyAlignment="1">
      <alignment horizontal="center" vertical="center" wrapText="1"/>
      <protection/>
    </xf>
    <xf numFmtId="167" fontId="46" fillId="0" borderId="46" xfId="103" applyNumberFormat="1" applyFont="1" applyBorder="1" applyAlignment="1">
      <alignment horizontal="center" vertical="center" wrapText="1"/>
      <protection/>
    </xf>
    <xf numFmtId="0" fontId="46" fillId="0" borderId="40" xfId="107" applyFont="1" applyFill="1" applyBorder="1" applyAlignment="1" applyProtection="1">
      <alignment horizontal="left" vertical="center"/>
      <protection/>
    </xf>
    <xf numFmtId="0" fontId="46" fillId="0" borderId="28" xfId="107" applyFont="1" applyFill="1" applyBorder="1" applyAlignment="1" applyProtection="1">
      <alignment horizontal="left" vertical="center"/>
      <protection/>
    </xf>
    <xf numFmtId="0" fontId="46" fillId="0" borderId="31" xfId="107" applyFont="1" applyFill="1" applyBorder="1" applyAlignment="1" applyProtection="1">
      <alignment horizontal="center" vertical="center"/>
      <protection/>
    </xf>
    <xf numFmtId="0" fontId="46" fillId="0" borderId="49" xfId="107" applyFont="1" applyFill="1" applyBorder="1" applyAlignment="1" applyProtection="1">
      <alignment horizontal="center" vertical="center"/>
      <protection/>
    </xf>
    <xf numFmtId="0" fontId="30" fillId="0" borderId="40" xfId="107" applyFont="1" applyFill="1" applyBorder="1" applyAlignment="1" applyProtection="1">
      <alignment horizontal="left" vertical="center"/>
      <protection/>
    </xf>
    <xf numFmtId="0" fontId="30" fillId="0" borderId="28" xfId="107" applyFont="1" applyFill="1" applyBorder="1" applyAlignment="1" applyProtection="1">
      <alignment horizontal="left" vertical="center"/>
      <protection/>
    </xf>
    <xf numFmtId="0" fontId="46" fillId="0" borderId="38" xfId="107" applyFont="1" applyFill="1" applyBorder="1" applyAlignment="1" applyProtection="1">
      <alignment horizontal="center" vertical="center"/>
      <protection/>
    </xf>
    <xf numFmtId="0" fontId="46" fillId="0" borderId="50" xfId="107" applyFont="1" applyFill="1" applyBorder="1" applyAlignment="1" applyProtection="1">
      <alignment horizontal="center" vertical="center"/>
      <protection/>
    </xf>
    <xf numFmtId="0" fontId="76" fillId="0" borderId="32" xfId="0" applyFont="1" applyFill="1" applyBorder="1" applyAlignment="1">
      <alignment horizontal="left" vertical="center" wrapText="1"/>
    </xf>
    <xf numFmtId="0" fontId="76" fillId="0" borderId="90" xfId="0" applyFont="1" applyFill="1" applyBorder="1" applyAlignment="1">
      <alignment horizontal="left" vertical="center" wrapText="1"/>
    </xf>
    <xf numFmtId="167" fontId="81" fillId="0" borderId="0" xfId="107" applyNumberFormat="1" applyFont="1" applyFill="1" applyBorder="1" applyAlignment="1" applyProtection="1">
      <alignment horizontal="center" vertical="center" wrapText="1"/>
      <protection/>
    </xf>
    <xf numFmtId="0" fontId="44" fillId="0" borderId="53" xfId="0" applyFont="1" applyFill="1" applyBorder="1" applyAlignment="1" applyProtection="1">
      <alignment horizontal="right" vertical="center"/>
      <protection/>
    </xf>
    <xf numFmtId="0" fontId="46" fillId="0" borderId="31" xfId="107" applyFont="1" applyFill="1" applyBorder="1" applyAlignment="1" applyProtection="1">
      <alignment horizontal="center" vertical="center" wrapText="1"/>
      <protection/>
    </xf>
    <xf numFmtId="0" fontId="46" fillId="0" borderId="49" xfId="107" applyFont="1" applyFill="1" applyBorder="1" applyAlignment="1" applyProtection="1">
      <alignment horizontal="center" vertical="center" wrapText="1"/>
      <protection/>
    </xf>
    <xf numFmtId="0" fontId="30" fillId="0" borderId="79" xfId="107" applyFont="1" applyFill="1" applyBorder="1" applyAlignment="1" applyProtection="1">
      <alignment horizontal="left" vertical="center"/>
      <protection/>
    </xf>
    <xf numFmtId="0" fontId="30" fillId="0" borderId="91" xfId="107" applyFont="1" applyFill="1" applyBorder="1" applyAlignment="1" applyProtection="1">
      <alignment horizontal="left" vertical="center"/>
      <protection/>
    </xf>
    <xf numFmtId="0" fontId="30" fillId="0" borderId="32" xfId="107" applyFont="1" applyFill="1" applyBorder="1" applyAlignment="1" applyProtection="1">
      <alignment horizontal="left" vertical="center"/>
      <protection/>
    </xf>
    <xf numFmtId="0" fontId="30" fillId="0" borderId="90" xfId="107" applyFont="1" applyFill="1" applyBorder="1" applyAlignment="1" applyProtection="1">
      <alignment horizontal="left" vertical="center"/>
      <protection/>
    </xf>
    <xf numFmtId="0" fontId="23" fillId="0" borderId="0" xfId="102" applyFont="1" applyAlignment="1">
      <alignment horizontal="center" vertical="center" wrapText="1"/>
      <protection/>
    </xf>
    <xf numFmtId="0" fontId="89" fillId="0" borderId="0" xfId="102" applyFont="1" applyAlignment="1">
      <alignment horizontal="right" vertical="center"/>
      <protection/>
    </xf>
    <xf numFmtId="0" fontId="89" fillId="0" borderId="53" xfId="102" applyFont="1" applyBorder="1" applyAlignment="1">
      <alignment horizontal="right"/>
      <protection/>
    </xf>
    <xf numFmtId="3" fontId="10" fillId="0" borderId="0" xfId="102" applyNumberFormat="1" applyFont="1" applyFill="1" applyAlignment="1">
      <alignment horizontal="center" vertical="center"/>
      <protection/>
    </xf>
    <xf numFmtId="3" fontId="72" fillId="0" borderId="0" xfId="102" applyNumberFormat="1" applyFont="1" applyFill="1" applyAlignment="1">
      <alignment horizontal="center" vertical="center"/>
      <protection/>
    </xf>
    <xf numFmtId="0" fontId="86" fillId="0" borderId="0" xfId="102" applyFont="1" applyFill="1" applyAlignment="1">
      <alignment horizontal="center" vertical="center"/>
      <protection/>
    </xf>
    <xf numFmtId="3" fontId="86" fillId="0" borderId="0" xfId="102" applyNumberFormat="1" applyFont="1" applyFill="1" applyAlignment="1">
      <alignment horizontal="center" vertical="center"/>
      <protection/>
    </xf>
    <xf numFmtId="3" fontId="87" fillId="0" borderId="47" xfId="102" applyNumberFormat="1" applyFont="1" applyFill="1" applyBorder="1" applyAlignment="1">
      <alignment horizontal="center" vertical="center" wrapText="1"/>
      <protection/>
    </xf>
    <xf numFmtId="3" fontId="87" fillId="0" borderId="44" xfId="102" applyNumberFormat="1" applyFont="1" applyFill="1" applyBorder="1" applyAlignment="1">
      <alignment horizontal="center" vertical="center" wrapText="1"/>
      <protection/>
    </xf>
    <xf numFmtId="3" fontId="87" fillId="0" borderId="20" xfId="102" applyNumberFormat="1" applyFont="1" applyFill="1" applyBorder="1" applyAlignment="1">
      <alignment horizontal="center" vertical="center"/>
      <protection/>
    </xf>
    <xf numFmtId="3" fontId="87" fillId="0" borderId="91" xfId="102" applyNumberFormat="1" applyFont="1" applyFill="1" applyBorder="1" applyAlignment="1">
      <alignment horizontal="center" vertical="center"/>
      <protection/>
    </xf>
    <xf numFmtId="3" fontId="87" fillId="0" borderId="43" xfId="102" applyNumberFormat="1" applyFont="1" applyFill="1" applyBorder="1" applyAlignment="1">
      <alignment horizontal="center" vertical="center"/>
      <protection/>
    </xf>
    <xf numFmtId="0" fontId="88" fillId="0" borderId="19" xfId="102" applyFont="1" applyFill="1" applyBorder="1" applyAlignment="1">
      <alignment horizontal="center" vertical="center" wrapText="1"/>
      <protection/>
    </xf>
    <xf numFmtId="0" fontId="88" fillId="0" borderId="23" xfId="102" applyFont="1" applyFill="1" applyBorder="1" applyAlignment="1">
      <alignment horizontal="center" vertical="center" wrapText="1"/>
      <protection/>
    </xf>
    <xf numFmtId="0" fontId="88" fillId="0" borderId="71" xfId="102" applyFont="1" applyFill="1" applyBorder="1" applyAlignment="1">
      <alignment horizontal="center" vertical="center" wrapText="1"/>
      <protection/>
    </xf>
    <xf numFmtId="0" fontId="88" fillId="0" borderId="75" xfId="102" applyFont="1" applyFill="1" applyBorder="1" applyAlignment="1">
      <alignment horizontal="center" vertical="center" wrapText="1"/>
      <protection/>
    </xf>
    <xf numFmtId="0" fontId="88" fillId="0" borderId="73" xfId="102" applyFont="1" applyFill="1" applyBorder="1" applyAlignment="1">
      <alignment horizontal="center" vertical="center" wrapText="1"/>
      <protection/>
    </xf>
    <xf numFmtId="0" fontId="88" fillId="0" borderId="131" xfId="102" applyFont="1" applyFill="1" applyBorder="1" applyAlignment="1">
      <alignment horizontal="center" vertical="center" wrapText="1"/>
      <protection/>
    </xf>
    <xf numFmtId="3" fontId="26" fillId="0" borderId="69" xfId="102" applyNumberFormat="1" applyFont="1" applyFill="1" applyBorder="1" applyAlignment="1">
      <alignment horizontal="right" vertical="center"/>
      <protection/>
    </xf>
    <xf numFmtId="3" fontId="26" fillId="0" borderId="87" xfId="102" applyNumberFormat="1" applyFont="1" applyFill="1" applyBorder="1" applyAlignment="1">
      <alignment horizontal="right" vertical="center"/>
      <protection/>
    </xf>
    <xf numFmtId="3" fontId="26" fillId="0" borderId="74" xfId="102" applyNumberFormat="1" applyFont="1" applyFill="1" applyBorder="1" applyAlignment="1">
      <alignment horizontal="right" vertical="center"/>
      <protection/>
    </xf>
    <xf numFmtId="3" fontId="26" fillId="0" borderId="94" xfId="102" applyNumberFormat="1" applyFont="1" applyFill="1" applyBorder="1" applyAlignment="1">
      <alignment horizontal="right" vertical="center"/>
      <protection/>
    </xf>
    <xf numFmtId="3" fontId="24" fillId="0" borderId="73" xfId="102" applyNumberFormat="1" applyFont="1" applyFill="1" applyBorder="1" applyAlignment="1">
      <alignment horizontal="right" vertical="center"/>
      <protection/>
    </xf>
    <xf numFmtId="3" fontId="24" fillId="0" borderId="131" xfId="102" applyNumberFormat="1" applyFont="1" applyFill="1" applyBorder="1" applyAlignment="1">
      <alignment horizontal="right" vertical="center"/>
      <protection/>
    </xf>
    <xf numFmtId="167" fontId="169" fillId="0" borderId="54" xfId="98" applyNumberFormat="1" applyFont="1" applyFill="1" applyBorder="1" applyAlignment="1">
      <alignment horizontal="center" textRotation="180" wrapText="1"/>
      <protection/>
    </xf>
    <xf numFmtId="167" fontId="163" fillId="0" borderId="31" xfId="98" applyNumberFormat="1" applyFont="1" applyFill="1" applyBorder="1" applyAlignment="1">
      <alignment horizontal="left" vertical="center" wrapText="1" indent="2"/>
      <protection/>
    </xf>
    <xf numFmtId="167" fontId="163" fillId="0" borderId="50" xfId="98" applyNumberFormat="1" applyFont="1" applyFill="1" applyBorder="1" applyAlignment="1">
      <alignment horizontal="left" vertical="center" wrapText="1" indent="2"/>
      <protection/>
    </xf>
    <xf numFmtId="167" fontId="170" fillId="0" borderId="0" xfId="98" applyNumberFormat="1" applyFont="1" applyFill="1" applyAlignment="1">
      <alignment horizontal="center" vertical="center" wrapText="1"/>
      <protection/>
    </xf>
    <xf numFmtId="167" fontId="163" fillId="0" borderId="132" xfId="98" applyNumberFormat="1" applyFont="1" applyFill="1" applyBorder="1" applyAlignment="1">
      <alignment horizontal="center" vertical="center" wrapText="1"/>
      <protection/>
    </xf>
    <xf numFmtId="167" fontId="163" fillId="0" borderId="133" xfId="98" applyNumberFormat="1" applyFont="1" applyFill="1" applyBorder="1" applyAlignment="1">
      <alignment horizontal="center" vertical="center" wrapText="1"/>
      <protection/>
    </xf>
    <xf numFmtId="167" fontId="163" fillId="0" borderId="132" xfId="98" applyNumberFormat="1" applyFont="1" applyFill="1" applyBorder="1" applyAlignment="1">
      <alignment horizontal="center" vertical="center"/>
      <protection/>
    </xf>
    <xf numFmtId="167" fontId="163" fillId="0" borderId="133" xfId="98" applyNumberFormat="1" applyFont="1" applyFill="1" applyBorder="1" applyAlignment="1">
      <alignment horizontal="center" vertical="center"/>
      <protection/>
    </xf>
    <xf numFmtId="49" fontId="163" fillId="0" borderId="132" xfId="98" applyNumberFormat="1" applyFont="1" applyFill="1" applyBorder="1" applyAlignment="1">
      <alignment horizontal="center" vertical="center" wrapText="1"/>
      <protection/>
    </xf>
    <xf numFmtId="49" fontId="163" fillId="0" borderId="133" xfId="98" applyNumberFormat="1" applyFont="1" applyFill="1" applyBorder="1" applyAlignment="1">
      <alignment horizontal="center" vertical="center" wrapText="1"/>
      <protection/>
    </xf>
    <xf numFmtId="167" fontId="163" fillId="0" borderId="79" xfId="98" applyNumberFormat="1" applyFont="1" applyFill="1" applyBorder="1" applyAlignment="1">
      <alignment horizontal="center" vertical="center"/>
      <protection/>
    </xf>
    <xf numFmtId="167" fontId="163" fillId="0" borderId="52" xfId="98" applyNumberFormat="1" applyFont="1" applyFill="1" applyBorder="1" applyAlignment="1">
      <alignment horizontal="center" vertical="center"/>
      <protection/>
    </xf>
    <xf numFmtId="167" fontId="163" fillId="0" borderId="125" xfId="98" applyNumberFormat="1" applyFont="1" applyFill="1" applyBorder="1" applyAlignment="1">
      <alignment horizontal="center" vertical="center"/>
      <protection/>
    </xf>
    <xf numFmtId="3" fontId="28" fillId="52" borderId="66" xfId="95" applyNumberFormat="1" applyFont="1" applyFill="1" applyBorder="1" applyAlignment="1">
      <alignment horizontal="right" vertical="center"/>
      <protection/>
    </xf>
    <xf numFmtId="3" fontId="28" fillId="52" borderId="70" xfId="95" applyNumberFormat="1" applyFont="1" applyFill="1" applyBorder="1" applyAlignment="1">
      <alignment horizontal="right" vertical="center"/>
      <protection/>
    </xf>
    <xf numFmtId="3" fontId="28" fillId="52" borderId="74" xfId="95" applyNumberFormat="1" applyFont="1" applyFill="1" applyBorder="1" applyAlignment="1">
      <alignment horizontal="right" vertical="center"/>
      <protection/>
    </xf>
    <xf numFmtId="3" fontId="28" fillId="52" borderId="94" xfId="95" applyNumberFormat="1" applyFont="1" applyFill="1" applyBorder="1" applyAlignment="1">
      <alignment horizontal="right" vertical="center"/>
      <protection/>
    </xf>
    <xf numFmtId="0" fontId="46" fillId="52" borderId="0" xfId="95" applyFont="1" applyFill="1" applyAlignment="1">
      <alignment horizontal="center"/>
      <protection/>
    </xf>
    <xf numFmtId="0" fontId="58" fillId="52" borderId="53" xfId="95" applyFont="1" applyFill="1" applyBorder="1" applyAlignment="1">
      <alignment horizontal="right"/>
      <protection/>
    </xf>
    <xf numFmtId="0" fontId="28" fillId="52" borderId="72" xfId="95" applyFont="1" applyFill="1" applyBorder="1" applyAlignment="1">
      <alignment horizontal="center" vertical="center" wrapText="1"/>
      <protection/>
    </xf>
    <xf numFmtId="0" fontId="28" fillId="52" borderId="125" xfId="95" applyFont="1" applyFill="1" applyBorder="1" applyAlignment="1">
      <alignment horizontal="center" vertical="center" wrapText="1"/>
      <protection/>
    </xf>
    <xf numFmtId="0" fontId="42" fillId="0" borderId="0" xfId="101" applyFont="1" applyFill="1" applyAlignment="1">
      <alignment horizontal="right"/>
      <protection/>
    </xf>
    <xf numFmtId="0" fontId="27" fillId="0" borderId="0" xfId="101" applyFont="1" applyFill="1" applyAlignment="1" applyProtection="1">
      <alignment horizontal="center" vertical="top" wrapText="1"/>
      <protection locked="0"/>
    </xf>
    <xf numFmtId="0" fontId="166" fillId="0" borderId="30" xfId="95" applyFont="1" applyFill="1" applyBorder="1" applyAlignment="1">
      <alignment horizontal="left" vertical="center" wrapText="1"/>
      <protection/>
    </xf>
    <xf numFmtId="0" fontId="166" fillId="0" borderId="44" xfId="95" applyFont="1" applyFill="1" applyBorder="1" applyAlignment="1">
      <alignment horizontal="left" vertical="center" wrapText="1"/>
      <protection/>
    </xf>
    <xf numFmtId="0" fontId="166" fillId="0" borderId="29" xfId="95" applyFont="1" applyFill="1" applyBorder="1" applyAlignment="1">
      <alignment horizontal="left" vertical="center" wrapText="1"/>
      <protection/>
    </xf>
    <xf numFmtId="0" fontId="166" fillId="0" borderId="21" xfId="95" applyFont="1" applyFill="1" applyBorder="1" applyAlignment="1">
      <alignment horizontal="left" vertical="center" wrapText="1"/>
      <protection/>
    </xf>
    <xf numFmtId="0" fontId="166" fillId="0" borderId="29" xfId="95" applyFont="1" applyBorder="1" applyAlignment="1">
      <alignment horizontal="center"/>
      <protection/>
    </xf>
    <xf numFmtId="0" fontId="166" fillId="0" borderId="21" xfId="95" applyFont="1" applyBorder="1" applyAlignment="1">
      <alignment horizontal="center"/>
      <protection/>
    </xf>
    <xf numFmtId="0" fontId="166" fillId="0" borderId="30" xfId="95" applyFont="1" applyBorder="1" applyAlignment="1">
      <alignment horizontal="left" vertical="center" wrapText="1"/>
      <protection/>
    </xf>
    <xf numFmtId="0" fontId="166" fillId="0" borderId="42" xfId="95" applyFont="1" applyBorder="1" applyAlignment="1">
      <alignment horizontal="left" vertical="center" wrapText="1"/>
      <protection/>
    </xf>
    <xf numFmtId="0" fontId="166" fillId="0" borderId="44" xfId="95" applyFont="1" applyBorder="1" applyAlignment="1">
      <alignment horizontal="left" vertical="center" wrapText="1"/>
      <protection/>
    </xf>
    <xf numFmtId="0" fontId="166" fillId="0" borderId="29" xfId="95" applyFont="1" applyBorder="1" applyAlignment="1">
      <alignment horizontal="left" vertical="center" wrapText="1"/>
      <protection/>
    </xf>
    <xf numFmtId="0" fontId="166" fillId="0" borderId="21" xfId="95" applyFont="1" applyBorder="1" applyAlignment="1">
      <alignment horizontal="left" vertical="center" wrapText="1"/>
      <protection/>
    </xf>
    <xf numFmtId="3" fontId="166" fillId="0" borderId="29" xfId="95" applyNumberFormat="1" applyFont="1" applyBorder="1" applyAlignment="1">
      <alignment horizontal="right" vertical="center"/>
      <protection/>
    </xf>
    <xf numFmtId="3" fontId="166" fillId="0" borderId="21" xfId="95" applyNumberFormat="1" applyFont="1" applyBorder="1" applyAlignment="1">
      <alignment horizontal="right" vertical="center"/>
      <protection/>
    </xf>
    <xf numFmtId="0" fontId="167" fillId="0" borderId="0" xfId="95" applyFont="1" applyAlignment="1">
      <alignment horizontal="right"/>
      <protection/>
    </xf>
    <xf numFmtId="0" fontId="171" fillId="0" borderId="0" xfId="95" applyFont="1" applyAlignment="1">
      <alignment horizontal="right"/>
      <protection/>
    </xf>
    <xf numFmtId="0" fontId="172" fillId="0" borderId="0" xfId="95" applyFont="1" applyAlignment="1">
      <alignment horizontal="center"/>
      <protection/>
    </xf>
    <xf numFmtId="0" fontId="173" fillId="0" borderId="0" xfId="95" applyFont="1" applyAlignment="1">
      <alignment horizontal="center" wrapText="1"/>
      <protection/>
    </xf>
    <xf numFmtId="0" fontId="168" fillId="0" borderId="61" xfId="95" applyFont="1" applyBorder="1" applyAlignment="1">
      <alignment horizontal="center" vertical="center"/>
      <protection/>
    </xf>
    <xf numFmtId="0" fontId="168" fillId="0" borderId="38" xfId="95" applyFont="1" applyBorder="1" applyAlignment="1">
      <alignment horizontal="center" vertical="center"/>
      <protection/>
    </xf>
    <xf numFmtId="167" fontId="62" fillId="0" borderId="0" xfId="0" applyNumberFormat="1" applyFont="1" applyAlignment="1">
      <alignment horizontal="right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14" fillId="0" borderId="0" xfId="104" applyFont="1" applyFill="1" applyAlignment="1">
      <alignment horizontal="center" vertical="center"/>
      <protection/>
    </xf>
    <xf numFmtId="0" fontId="12" fillId="0" borderId="0" xfId="104" applyFont="1" applyFill="1" applyAlignment="1">
      <alignment horizontal="center" vertical="center"/>
      <protection/>
    </xf>
    <xf numFmtId="3" fontId="12" fillId="0" borderId="0" xfId="104" applyNumberFormat="1" applyFont="1" applyFill="1" applyAlignment="1">
      <alignment horizontal="center" vertical="center"/>
      <protection/>
    </xf>
    <xf numFmtId="0" fontId="16" fillId="0" borderId="40" xfId="104" applyFont="1" applyFill="1" applyBorder="1" applyAlignment="1">
      <alignment horizontal="center" vertical="center"/>
      <protection/>
    </xf>
    <xf numFmtId="0" fontId="16" fillId="0" borderId="28" xfId="104" applyFont="1" applyFill="1" applyBorder="1" applyAlignment="1">
      <alignment horizontal="center" vertical="center"/>
      <protection/>
    </xf>
    <xf numFmtId="0" fontId="16" fillId="0" borderId="61" xfId="104" applyFont="1" applyFill="1" applyBorder="1" applyAlignment="1">
      <alignment horizontal="center" vertical="center"/>
      <protection/>
    </xf>
    <xf numFmtId="3" fontId="16" fillId="0" borderId="31" xfId="104" applyNumberFormat="1" applyFont="1" applyFill="1" applyBorder="1" applyAlignment="1">
      <alignment horizontal="center" vertical="center"/>
      <protection/>
    </xf>
    <xf numFmtId="3" fontId="16" fillId="0" borderId="38" xfId="104" applyNumberFormat="1" applyFont="1" applyFill="1" applyBorder="1" applyAlignment="1">
      <alignment horizontal="center" vertical="center"/>
      <protection/>
    </xf>
    <xf numFmtId="3" fontId="16" fillId="0" borderId="50" xfId="104" applyNumberFormat="1" applyFont="1" applyFill="1" applyBorder="1" applyAlignment="1">
      <alignment horizontal="center" vertical="center"/>
      <protection/>
    </xf>
    <xf numFmtId="0" fontId="16" fillId="0" borderId="40" xfId="104" applyFont="1" applyFill="1" applyBorder="1" applyAlignment="1">
      <alignment horizontal="center" vertical="center"/>
      <protection/>
    </xf>
    <xf numFmtId="0" fontId="16" fillId="0" borderId="28" xfId="104" applyFont="1" applyFill="1" applyBorder="1" applyAlignment="1">
      <alignment horizontal="center" vertical="center"/>
      <protection/>
    </xf>
    <xf numFmtId="0" fontId="16" fillId="0" borderId="41" xfId="104" applyFont="1" applyFill="1" applyBorder="1" applyAlignment="1">
      <alignment horizontal="center" vertical="center"/>
      <protection/>
    </xf>
    <xf numFmtId="0" fontId="13" fillId="0" borderId="0" xfId="104" applyFont="1" applyFill="1" applyAlignment="1">
      <alignment vertical="center"/>
      <protection/>
    </xf>
    <xf numFmtId="0" fontId="16" fillId="0" borderId="42" xfId="104" applyFont="1" applyFill="1" applyBorder="1" applyAlignment="1">
      <alignment horizontal="center" vertical="center"/>
      <protection/>
    </xf>
    <xf numFmtId="0" fontId="16" fillId="0" borderId="51" xfId="104" applyFont="1" applyFill="1" applyBorder="1" applyAlignment="1">
      <alignment horizontal="center" vertical="center"/>
      <protection/>
    </xf>
    <xf numFmtId="0" fontId="16" fillId="0" borderId="95" xfId="104" applyFont="1" applyFill="1" applyBorder="1" applyAlignment="1">
      <alignment horizontal="center" vertical="center"/>
      <protection/>
    </xf>
    <xf numFmtId="3" fontId="16" fillId="0" borderId="47" xfId="104" applyNumberFormat="1" applyFont="1" applyFill="1" applyBorder="1" applyAlignment="1">
      <alignment horizontal="center" vertical="center"/>
      <protection/>
    </xf>
    <xf numFmtId="3" fontId="16" fillId="0" borderId="39" xfId="104" applyNumberFormat="1" applyFont="1" applyFill="1" applyBorder="1" applyAlignment="1">
      <alignment horizontal="center" vertical="center" wrapText="1"/>
      <protection/>
    </xf>
    <xf numFmtId="3" fontId="16" fillId="0" borderId="39" xfId="104" applyNumberFormat="1" applyFont="1" applyFill="1" applyBorder="1" applyAlignment="1">
      <alignment horizontal="center" vertical="center"/>
      <protection/>
    </xf>
    <xf numFmtId="3" fontId="16" fillId="0" borderId="55" xfId="104" applyNumberFormat="1" applyFont="1" applyFill="1" applyBorder="1" applyAlignment="1">
      <alignment horizontal="center" vertical="center"/>
      <protection/>
    </xf>
    <xf numFmtId="3" fontId="16" fillId="0" borderId="68" xfId="104" applyNumberFormat="1" applyFont="1" applyFill="1" applyBorder="1" applyAlignment="1">
      <alignment horizontal="center" vertical="center"/>
      <protection/>
    </xf>
    <xf numFmtId="0" fontId="14" fillId="0" borderId="66" xfId="0" applyFont="1" applyFill="1" applyBorder="1" applyAlignment="1">
      <alignment horizontal="center" vertical="center"/>
    </xf>
    <xf numFmtId="3" fontId="15" fillId="0" borderId="22" xfId="104" applyNumberFormat="1" applyFont="1" applyFill="1" applyBorder="1" applyAlignment="1">
      <alignment vertical="center"/>
      <protection/>
    </xf>
    <xf numFmtId="3" fontId="15" fillId="0" borderId="22" xfId="0" applyNumberFormat="1" applyFont="1" applyFill="1" applyBorder="1" applyAlignment="1">
      <alignment horizontal="right" vertical="center"/>
    </xf>
    <xf numFmtId="3" fontId="15" fillId="0" borderId="22" xfId="104" applyNumberFormat="1" applyFont="1" applyFill="1" applyBorder="1" applyAlignment="1">
      <alignment horizontal="right" vertical="center"/>
      <protection/>
    </xf>
    <xf numFmtId="10" fontId="15" fillId="0" borderId="22" xfId="118" applyNumberFormat="1" applyFont="1" applyFill="1" applyBorder="1" applyAlignment="1">
      <alignment horizontal="right" vertical="center"/>
    </xf>
    <xf numFmtId="3" fontId="15" fillId="0" borderId="24" xfId="104" applyNumberFormat="1" applyFont="1" applyFill="1" applyBorder="1" applyAlignment="1">
      <alignment vertical="center"/>
      <protection/>
    </xf>
    <xf numFmtId="10" fontId="15" fillId="0" borderId="25" xfId="104" applyNumberFormat="1" applyFont="1" applyFill="1" applyBorder="1" applyAlignment="1">
      <alignment vertical="center"/>
      <protection/>
    </xf>
    <xf numFmtId="3" fontId="15" fillId="0" borderId="22" xfId="0" applyNumberFormat="1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66" xfId="104" applyFont="1" applyFill="1" applyBorder="1" applyAlignment="1">
      <alignment horizontal="center" vertical="center"/>
      <protection/>
    </xf>
    <xf numFmtId="3" fontId="15" fillId="0" borderId="22" xfId="104" applyNumberFormat="1" applyFont="1" applyFill="1" applyBorder="1" applyAlignment="1">
      <alignment vertical="center"/>
      <protection/>
    </xf>
    <xf numFmtId="3" fontId="15" fillId="0" borderId="24" xfId="104" applyNumberFormat="1" applyFont="1" applyFill="1" applyBorder="1" applyAlignment="1">
      <alignment vertical="center"/>
      <protection/>
    </xf>
    <xf numFmtId="3" fontId="15" fillId="0" borderId="22" xfId="104" applyNumberFormat="1" applyFont="1" applyFill="1" applyBorder="1" applyAlignment="1">
      <alignment horizontal="right" vertical="center"/>
      <protection/>
    </xf>
    <xf numFmtId="0" fontId="32" fillId="0" borderId="24" xfId="104" applyFont="1" applyFill="1" applyBorder="1" applyAlignment="1">
      <alignment vertical="center" wrapText="1"/>
      <protection/>
    </xf>
    <xf numFmtId="3" fontId="15" fillId="0" borderId="29" xfId="104" applyNumberFormat="1" applyFont="1" applyFill="1" applyBorder="1" applyAlignment="1">
      <alignment horizontal="right" vertical="center"/>
      <protection/>
    </xf>
    <xf numFmtId="0" fontId="14" fillId="0" borderId="62" xfId="0" applyFont="1" applyFill="1" applyBorder="1" applyAlignment="1">
      <alignment horizontal="center" vertical="center"/>
    </xf>
    <xf numFmtId="3" fontId="15" fillId="0" borderId="90" xfId="104" applyNumberFormat="1" applyFont="1" applyFill="1" applyBorder="1" applyAlignment="1">
      <alignment horizontal="right" vertical="center"/>
      <protection/>
    </xf>
    <xf numFmtId="3" fontId="15" fillId="0" borderId="90" xfId="104" applyNumberFormat="1" applyFont="1" applyFill="1" applyBorder="1" applyAlignment="1">
      <alignment horizontal="right" vertical="center"/>
      <protection/>
    </xf>
    <xf numFmtId="10" fontId="15" fillId="0" borderId="90" xfId="118" applyNumberFormat="1" applyFont="1" applyFill="1" applyBorder="1" applyAlignment="1">
      <alignment horizontal="right" vertical="center"/>
    </xf>
    <xf numFmtId="0" fontId="32" fillId="0" borderId="24" xfId="104" applyFont="1" applyFill="1" applyBorder="1" applyAlignment="1">
      <alignment vertical="center"/>
      <protection/>
    </xf>
    <xf numFmtId="10" fontId="15" fillId="0" borderId="24" xfId="118" applyNumberFormat="1" applyFont="1" applyFill="1" applyBorder="1" applyAlignment="1">
      <alignment horizontal="right" vertical="center"/>
    </xf>
    <xf numFmtId="3" fontId="15" fillId="0" borderId="26" xfId="104" applyNumberFormat="1" applyFont="1" applyFill="1" applyBorder="1" applyAlignment="1">
      <alignment vertical="center"/>
      <protection/>
    </xf>
    <xf numFmtId="0" fontId="12" fillId="0" borderId="31" xfId="104" applyFont="1" applyFill="1" applyBorder="1" applyAlignment="1">
      <alignment horizontal="center" vertical="center"/>
      <protection/>
    </xf>
    <xf numFmtId="0" fontId="12" fillId="0" borderId="38" xfId="104" applyFont="1" applyFill="1" applyBorder="1" applyAlignment="1">
      <alignment horizontal="center" vertical="center"/>
      <protection/>
    </xf>
    <xf numFmtId="3" fontId="12" fillId="0" borderId="40" xfId="104" applyNumberFormat="1" applyFont="1" applyFill="1" applyBorder="1" applyAlignment="1">
      <alignment horizontal="right" vertical="center"/>
      <protection/>
    </xf>
    <xf numFmtId="3" fontId="12" fillId="0" borderId="28" xfId="104" applyNumberFormat="1" applyFont="1" applyFill="1" applyBorder="1" applyAlignment="1">
      <alignment horizontal="right" vertical="center"/>
      <protection/>
    </xf>
    <xf numFmtId="10" fontId="12" fillId="0" borderId="28" xfId="118" applyNumberFormat="1" applyFont="1" applyFill="1" applyBorder="1" applyAlignment="1">
      <alignment horizontal="right" vertical="center"/>
    </xf>
    <xf numFmtId="10" fontId="12" fillId="0" borderId="41" xfId="104" applyNumberFormat="1" applyFont="1" applyFill="1" applyBorder="1" applyAlignment="1">
      <alignment horizontal="right" vertical="center"/>
      <protection/>
    </xf>
    <xf numFmtId="0" fontId="16" fillId="0" borderId="0" xfId="104" applyFont="1" applyFill="1" applyAlignment="1">
      <alignment horizontal="center" vertical="center"/>
      <protection/>
    </xf>
    <xf numFmtId="3" fontId="12" fillId="0" borderId="0" xfId="104" applyNumberFormat="1" applyFont="1" applyFill="1" applyAlignment="1">
      <alignment horizontal="right" vertical="center"/>
      <protection/>
    </xf>
    <xf numFmtId="0" fontId="16" fillId="0" borderId="47" xfId="104" applyFont="1" applyFill="1" applyBorder="1" applyAlignment="1">
      <alignment horizontal="center" vertical="center"/>
      <protection/>
    </xf>
    <xf numFmtId="0" fontId="16" fillId="0" borderId="39" xfId="104" applyFont="1" applyFill="1" applyBorder="1" applyAlignment="1">
      <alignment horizontal="center" vertical="center"/>
      <protection/>
    </xf>
    <xf numFmtId="0" fontId="16" fillId="0" borderId="68" xfId="104" applyFont="1" applyFill="1" applyBorder="1" applyAlignment="1">
      <alignment horizontal="center" vertical="center"/>
      <protection/>
    </xf>
    <xf numFmtId="10" fontId="16" fillId="0" borderId="55" xfId="118" applyNumberFormat="1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vertical="center" wrapText="1"/>
    </xf>
    <xf numFmtId="3" fontId="15" fillId="0" borderId="19" xfId="0" applyNumberFormat="1" applyFont="1" applyFill="1" applyBorder="1" applyAlignment="1">
      <alignment horizontal="right" vertical="center"/>
    </xf>
    <xf numFmtId="3" fontId="15" fillId="0" borderId="123" xfId="0" applyNumberFormat="1" applyFont="1" applyFill="1" applyBorder="1" applyAlignment="1">
      <alignment horizontal="right" vertical="center"/>
    </xf>
    <xf numFmtId="3" fontId="15" fillId="0" borderId="19" xfId="104" applyNumberFormat="1" applyFont="1" applyFill="1" applyBorder="1" applyAlignment="1">
      <alignment vertical="center"/>
      <protection/>
    </xf>
    <xf numFmtId="10" fontId="15" fillId="0" borderId="19" xfId="118" applyNumberFormat="1" applyFont="1" applyFill="1" applyBorder="1" applyAlignment="1">
      <alignment vertical="center"/>
    </xf>
    <xf numFmtId="3" fontId="15" fillId="0" borderId="27" xfId="0" applyNumberFormat="1" applyFont="1" applyFill="1" applyBorder="1" applyAlignment="1">
      <alignment horizontal="right" vertical="center"/>
    </xf>
    <xf numFmtId="10" fontId="15" fillId="0" borderId="22" xfId="118" applyNumberFormat="1" applyFont="1" applyFill="1" applyBorder="1" applyAlignment="1">
      <alignment vertical="center"/>
    </xf>
    <xf numFmtId="3" fontId="15" fillId="0" borderId="77" xfId="0" applyNumberFormat="1" applyFont="1" applyFill="1" applyBorder="1" applyAlignment="1">
      <alignment horizontal="right" vertical="center"/>
    </xf>
    <xf numFmtId="10" fontId="15" fillId="0" borderId="22" xfId="118" applyNumberFormat="1" applyFont="1" applyFill="1" applyBorder="1" applyAlignment="1">
      <alignment vertical="center"/>
    </xf>
    <xf numFmtId="10" fontId="15" fillId="0" borderId="24" xfId="118" applyNumberFormat="1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2" fillId="0" borderId="49" xfId="104" applyFont="1" applyFill="1" applyBorder="1" applyAlignment="1">
      <alignment horizontal="center" vertical="center"/>
      <protection/>
    </xf>
    <xf numFmtId="0" fontId="11" fillId="0" borderId="0" xfId="104" applyFont="1" applyFill="1" applyAlignment="1">
      <alignment vertical="center"/>
      <protection/>
    </xf>
    <xf numFmtId="0" fontId="11" fillId="0" borderId="53" xfId="104" applyFont="1" applyFill="1" applyBorder="1" applyAlignment="1">
      <alignment vertical="center"/>
      <protection/>
    </xf>
    <xf numFmtId="0" fontId="11" fillId="0" borderId="22" xfId="104" applyFont="1" applyFill="1" applyBorder="1" applyAlignment="1">
      <alignment horizontal="center" vertical="center"/>
      <protection/>
    </xf>
    <xf numFmtId="3" fontId="11" fillId="0" borderId="0" xfId="104" applyNumberFormat="1" applyFont="1" applyFill="1" applyAlignment="1">
      <alignment vertical="center"/>
      <protection/>
    </xf>
    <xf numFmtId="0" fontId="11" fillId="0" borderId="0" xfId="104" applyFont="1" applyFill="1" applyAlignment="1">
      <alignment vertical="center"/>
      <protection/>
    </xf>
    <xf numFmtId="0" fontId="11" fillId="0" borderId="0" xfId="104" applyFont="1" applyFill="1" applyAlignment="1">
      <alignment horizontal="center" vertical="center"/>
      <protection/>
    </xf>
    <xf numFmtId="0" fontId="11" fillId="0" borderId="19" xfId="104" applyFont="1" applyFill="1" applyBorder="1" applyAlignment="1">
      <alignment horizontal="center" vertical="center"/>
      <protection/>
    </xf>
    <xf numFmtId="0" fontId="11" fillId="0" borderId="27" xfId="104" applyFont="1" applyFill="1" applyBorder="1" applyAlignment="1">
      <alignment horizontal="center" vertical="center"/>
      <protection/>
    </xf>
    <xf numFmtId="0" fontId="19" fillId="0" borderId="0" xfId="105" applyFont="1" applyFill="1" applyAlignment="1">
      <alignment horizontal="left" vertical="center" wrapText="1"/>
      <protection/>
    </xf>
    <xf numFmtId="0" fontId="33" fillId="0" borderId="0" xfId="105" applyFont="1" applyFill="1" applyAlignment="1">
      <alignment horizontal="center" vertical="center"/>
      <protection/>
    </xf>
    <xf numFmtId="0" fontId="64" fillId="0" borderId="0" xfId="105" applyFont="1" applyFill="1" applyAlignment="1">
      <alignment horizontal="right" vertical="center"/>
      <protection/>
    </xf>
    <xf numFmtId="0" fontId="64" fillId="0" borderId="0" xfId="105" applyFont="1" applyFill="1" applyAlignment="1">
      <alignment horizontal="right" vertical="center"/>
      <protection/>
    </xf>
    <xf numFmtId="0" fontId="34" fillId="0" borderId="0" xfId="105" applyFont="1" applyFill="1" applyAlignment="1">
      <alignment horizontal="center" vertical="center"/>
      <protection/>
    </xf>
    <xf numFmtId="0" fontId="34" fillId="0" borderId="0" xfId="105" applyFont="1" applyFill="1" applyAlignment="1">
      <alignment horizontal="center" vertical="center"/>
      <protection/>
    </xf>
    <xf numFmtId="16" fontId="34" fillId="0" borderId="0" xfId="105" applyNumberFormat="1" applyFont="1" applyFill="1" applyAlignment="1">
      <alignment horizontal="center" vertical="center" wrapText="1"/>
      <protection/>
    </xf>
    <xf numFmtId="0" fontId="24" fillId="0" borderId="47" xfId="105" applyFont="1" applyFill="1" applyBorder="1" applyAlignment="1">
      <alignment horizontal="center" vertical="center" wrapText="1"/>
      <protection/>
    </xf>
    <xf numFmtId="0" fontId="24" fillId="0" borderId="72" xfId="105" applyFont="1" applyFill="1" applyBorder="1" applyAlignment="1">
      <alignment horizontal="center" vertical="center" wrapText="1"/>
      <protection/>
    </xf>
    <xf numFmtId="0" fontId="0" fillId="0" borderId="52" xfId="0" applyFont="1" applyFill="1" applyBorder="1" applyAlignment="1">
      <alignment/>
    </xf>
    <xf numFmtId="0" fontId="0" fillId="0" borderId="125" xfId="0" applyFont="1" applyFill="1" applyBorder="1" applyAlignment="1">
      <alignment/>
    </xf>
    <xf numFmtId="0" fontId="24" fillId="0" borderId="79" xfId="105" applyFont="1" applyFill="1" applyBorder="1" applyAlignment="1">
      <alignment horizontal="center" vertical="center" wrapText="1"/>
      <protection/>
    </xf>
    <xf numFmtId="0" fontId="24" fillId="0" borderId="44" xfId="105" applyFont="1" applyFill="1" applyBorder="1" applyAlignment="1">
      <alignment horizontal="center" vertical="center" wrapText="1"/>
      <protection/>
    </xf>
    <xf numFmtId="0" fontId="36" fillId="0" borderId="26" xfId="105" applyFont="1" applyFill="1" applyBorder="1" applyAlignment="1">
      <alignment horizontal="center" vertical="center" wrapText="1"/>
      <protection/>
    </xf>
    <xf numFmtId="0" fontId="36" fillId="0" borderId="48" xfId="105" applyFont="1" applyFill="1" applyBorder="1" applyAlignment="1">
      <alignment horizontal="center" vertical="center" wrapText="1"/>
      <protection/>
    </xf>
    <xf numFmtId="0" fontId="36" fillId="0" borderId="23" xfId="105" applyFont="1" applyFill="1" applyBorder="1" applyAlignment="1">
      <alignment horizontal="center" vertical="center" wrapText="1"/>
      <protection/>
    </xf>
    <xf numFmtId="0" fontId="26" fillId="0" borderId="22" xfId="105" applyFont="1" applyFill="1" applyBorder="1" applyAlignment="1">
      <alignment horizontal="left" vertical="center" wrapText="1"/>
      <protection/>
    </xf>
    <xf numFmtId="2" fontId="37" fillId="0" borderId="24" xfId="105" applyNumberFormat="1" applyFont="1" applyFill="1" applyBorder="1" applyAlignment="1">
      <alignment horizontal="center" vertical="center" wrapText="1"/>
      <protection/>
    </xf>
    <xf numFmtId="2" fontId="37" fillId="0" borderId="21" xfId="105" applyNumberFormat="1" applyFont="1" applyFill="1" applyBorder="1" applyAlignment="1">
      <alignment horizontal="center" vertical="center" wrapText="1"/>
      <protection/>
    </xf>
    <xf numFmtId="1" fontId="37" fillId="0" borderId="25" xfId="105" applyNumberFormat="1" applyFont="1" applyFill="1" applyBorder="1" applyAlignment="1">
      <alignment horizontal="center" vertical="center" wrapText="1"/>
      <protection/>
    </xf>
    <xf numFmtId="0" fontId="26" fillId="0" borderId="63" xfId="0" applyFont="1" applyFill="1" applyBorder="1" applyAlignment="1">
      <alignment vertical="center" wrapText="1"/>
    </xf>
    <xf numFmtId="2" fontId="37" fillId="0" borderId="26" xfId="105" applyNumberFormat="1" applyFont="1" applyFill="1" applyBorder="1" applyAlignment="1">
      <alignment horizontal="center" vertical="center" wrapText="1"/>
      <protection/>
    </xf>
    <xf numFmtId="0" fontId="38" fillId="0" borderId="44" xfId="105" applyFont="1" applyFill="1" applyBorder="1" applyAlignment="1">
      <alignment horizontal="left" vertical="center" wrapText="1"/>
      <protection/>
    </xf>
    <xf numFmtId="2" fontId="35" fillId="0" borderId="45" xfId="105" applyNumberFormat="1" applyFont="1" applyFill="1" applyBorder="1" applyAlignment="1">
      <alignment horizontal="center" vertical="center"/>
      <protection/>
    </xf>
    <xf numFmtId="1" fontId="35" fillId="0" borderId="46" xfId="105" applyNumberFormat="1" applyFont="1" applyFill="1" applyBorder="1" applyAlignment="1">
      <alignment horizontal="center" vertical="center"/>
      <protection/>
    </xf>
    <xf numFmtId="0" fontId="24" fillId="0" borderId="31" xfId="105" applyFont="1" applyFill="1" applyBorder="1" applyAlignment="1">
      <alignment horizontal="left" vertical="center"/>
      <protection/>
    </xf>
    <xf numFmtId="0" fontId="24" fillId="0" borderId="38" xfId="105" applyFont="1" applyFill="1" applyBorder="1" applyAlignment="1">
      <alignment horizontal="left" vertical="center"/>
      <protection/>
    </xf>
    <xf numFmtId="0" fontId="24" fillId="0" borderId="49" xfId="105" applyFont="1" applyFill="1" applyBorder="1" applyAlignment="1">
      <alignment horizontal="left" vertical="center"/>
      <protection/>
    </xf>
    <xf numFmtId="1" fontId="35" fillId="0" borderId="41" xfId="105" applyNumberFormat="1" applyFont="1" applyFill="1" applyBorder="1" applyAlignment="1">
      <alignment horizontal="center" vertical="center" wrapText="1"/>
      <protection/>
    </xf>
    <xf numFmtId="1" fontId="35" fillId="0" borderId="31" xfId="105" applyNumberFormat="1" applyFont="1" applyFill="1" applyBorder="1" applyAlignment="1">
      <alignment horizontal="center" vertical="center" wrapText="1"/>
      <protection/>
    </xf>
    <xf numFmtId="1" fontId="35" fillId="0" borderId="38" xfId="105" applyNumberFormat="1" applyFont="1" applyFill="1" applyBorder="1" applyAlignment="1">
      <alignment horizontal="center" vertical="center" wrapText="1"/>
      <protection/>
    </xf>
    <xf numFmtId="1" fontId="35" fillId="0" borderId="50" xfId="105" applyNumberFormat="1" applyFont="1" applyFill="1" applyBorder="1" applyAlignment="1">
      <alignment horizontal="center" vertical="center" wrapText="1"/>
      <protection/>
    </xf>
    <xf numFmtId="2" fontId="33" fillId="0" borderId="0" xfId="105" applyNumberFormat="1" applyFont="1" applyFill="1" applyAlignment="1">
      <alignment horizontal="center" vertical="center"/>
      <protection/>
    </xf>
    <xf numFmtId="180" fontId="71" fillId="0" borderId="0" xfId="109" applyNumberFormat="1" applyFont="1" applyFill="1" applyProtection="1">
      <alignment/>
      <protection/>
    </xf>
    <xf numFmtId="3" fontId="76" fillId="0" borderId="0" xfId="109" applyNumberFormat="1" applyFont="1" applyFill="1" applyProtection="1">
      <alignment/>
      <protection/>
    </xf>
    <xf numFmtId="3" fontId="76" fillId="0" borderId="0" xfId="100" applyNumberFormat="1" applyFont="1">
      <alignment/>
      <protection/>
    </xf>
    <xf numFmtId="0" fontId="69" fillId="0" borderId="0" xfId="109" applyFont="1" applyFill="1">
      <alignment/>
      <protection/>
    </xf>
    <xf numFmtId="3" fontId="138" fillId="0" borderId="25" xfId="103" applyNumberFormat="1" applyFont="1" applyFill="1" applyBorder="1" applyAlignment="1" applyProtection="1">
      <alignment vertical="center" wrapText="1"/>
      <protection locked="0"/>
    </xf>
  </cellXfs>
  <cellStyles count="10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Figyelmeztetés" xfId="77"/>
    <cellStyle name="Good" xfId="78"/>
    <cellStyle name="Heading 1" xfId="79"/>
    <cellStyle name="Heading 2" xfId="80"/>
    <cellStyle name="Heading 3" xfId="81"/>
    <cellStyle name="Heading 4" xfId="82"/>
    <cellStyle name="Hiperhivatkozás" xfId="83"/>
    <cellStyle name="Hyperlink" xfId="84"/>
    <cellStyle name="Hivatkozott cella" xfId="85"/>
    <cellStyle name="Input" xfId="86"/>
    <cellStyle name="Jegyzet" xfId="87"/>
    <cellStyle name="Jó" xfId="88"/>
    <cellStyle name="Kimenet" xfId="89"/>
    <cellStyle name="Followed Hyperlink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2 2" xfId="96"/>
    <cellStyle name="Normál 3" xfId="97"/>
    <cellStyle name="Normál 4" xfId="98"/>
    <cellStyle name="Normál 4 2" xfId="99"/>
    <cellStyle name="Normál 5" xfId="100"/>
    <cellStyle name="Normál 6" xfId="101"/>
    <cellStyle name="Normál_1_-_II_Tajekoztato_tablak" xfId="102"/>
    <cellStyle name="Normál_1_-_II_Tajekoztato_tablak (1)" xfId="103"/>
    <cellStyle name="Normál_2007. év költségvetés terv 1.mellékletek" xfId="104"/>
    <cellStyle name="Normál_2008. év költségvetés terv 1. sz. melléklet" xfId="105"/>
    <cellStyle name="Normál_Dologi kiadás" xfId="106"/>
    <cellStyle name="Normál_KVRENMUNKA" xfId="107"/>
    <cellStyle name="Normál_VAGYONK" xfId="108"/>
    <cellStyle name="Normál_VAGYONKIM" xfId="109"/>
    <cellStyle name="Note" xfId="110"/>
    <cellStyle name="Output" xfId="111"/>
    <cellStyle name="Összesen" xfId="112"/>
    <cellStyle name="Currency" xfId="113"/>
    <cellStyle name="Currency [0]" xfId="114"/>
    <cellStyle name="Rossz" xfId="115"/>
    <cellStyle name="Semleges" xfId="116"/>
    <cellStyle name="Számítás" xfId="117"/>
    <cellStyle name="Percent" xfId="118"/>
    <cellStyle name="Title" xfId="119"/>
    <cellStyle name="Total" xfId="120"/>
    <cellStyle name="Warning Text" xfId="12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i\2017\M&#225;solat%20eredetijeKVIR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cuments\Documents\2018\Beled\K&#246;lts&#233;gvet&#233;si%20rendelet%20m&#243;dos&#237;t&#225;sa\M&#243;d.%20III\M&#225;solat%20-%201539086307_1531748077_melleklet%201-18.%20egyse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wnloads\1527685536_1-23.%20szamu%20melleklet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wnloads\1496125867_1-22.%20melleklet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7">
        <row r="2">
          <cell r="E2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m-önk.össze.bev"/>
      <sheetName val="1 .sz.m.önk.össz.kiad."/>
      <sheetName val="2.sz.m.összehasonlító"/>
      <sheetName val="3.sz.m Önk  bev."/>
      <sheetName val="4.sz.m.ÖNK kiadás"/>
      <sheetName val="5.1 sz. m Köz Hiv"/>
      <sheetName val="5.2 sz. m ÁMK"/>
      <sheetName val="6 .sz.m. Létszám (2)"/>
      <sheetName val="7.a.sz.m.fejlesztés (3)"/>
      <sheetName val="7.b.sz.m.intfejl (2)"/>
      <sheetName val="8.sz.m.Dologi kiadás (3)"/>
      <sheetName val="9.sz.m.szociális kiadások (2)"/>
      <sheetName val="10.sz.m.átadott pe (3)"/>
      <sheetName val="11. sz adósság kötelezettség"/>
      <sheetName val="12. saját bevételek"/>
      <sheetName val="13. sz.m. előir felh terv"/>
      <sheetName val="14.sz.m. állami támogatás "/>
      <sheetName val="15. sz.m. közvetett tám. "/>
      <sheetName val="16.sz.m.többéves kihatás"/>
      <sheetName val="17. sz. m. EU "/>
      <sheetName val="18.sz.m. tartozás"/>
      <sheetName val="üres lap"/>
      <sheetName val="7.a.sz.m.fejlesztés (4)"/>
    </sheetNames>
    <sheetDataSet>
      <sheetData sheetId="4">
        <row r="18">
          <cell r="E18">
            <v>98334473</v>
          </cell>
        </row>
        <row r="19">
          <cell r="E19">
            <v>236308322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m-önk.össze.bev"/>
      <sheetName val="1 .sz.m.önk.össz.kiad."/>
      <sheetName val="2.sz.m.összehasonlító"/>
      <sheetName val="3.sz.m Önk  bev."/>
      <sheetName val="4.sz.m.ÖNK kiadás"/>
      <sheetName val="5.1 sz. m Köz Hiv"/>
      <sheetName val="5.2 sz. m ÁMK"/>
      <sheetName val="6.a.sz.m.fejlesztés (3)"/>
      <sheetName val="6.b.sz.m.intfejl (2)"/>
      <sheetName val="7.sz.m.Dologi kiadás (3)"/>
      <sheetName val="8.sz.m.szociális kiadások (2)"/>
      <sheetName val="9.sz.m.átadott pe (3)"/>
      <sheetName val="10 .sz.m. Létszám (2)"/>
      <sheetName val="11.sz.m.maradvány"/>
      <sheetName val="12.sz.m.mérleg"/>
      <sheetName val="13amell.Vagyokim. Beled Önk"/>
      <sheetName val="13bmell.Vagyokim. Közös Hiv"/>
      <sheetName val="13cmell.Vagyokim.BÁMK"/>
      <sheetName val="13d.sz.m Önk. érték nélkül Bele"/>
      <sheetName val="13e.sz.m érték nélkül Közös Hiv"/>
      <sheetName val="13f.sz.m.érték nélkül BÁMK"/>
      <sheetName val="14. sz adósság kötelezettség"/>
      <sheetName val="15. saját bevételek"/>
      <sheetName val="16. sz.m. hitelállomány"/>
      <sheetName val="17.sz.m.akü"/>
      <sheetName val="18.sz.m. állami támogatás "/>
      <sheetName val="19. sz.m. közvetett tám. "/>
      <sheetName val="20.sz.m.többéves kihatás"/>
      <sheetName val="21.sz.m.részesedések"/>
      <sheetName val="22.sz.m. pe változás"/>
      <sheetName val="23. sz. m. EU "/>
      <sheetName val="üres lap"/>
    </sheetNames>
    <sheetDataSet>
      <sheetData sheetId="14">
        <row r="185">
          <cell r="H185">
            <v>0</v>
          </cell>
        </row>
        <row r="186">
          <cell r="F186">
            <v>0</v>
          </cell>
          <cell r="H186">
            <v>0</v>
          </cell>
        </row>
        <row r="220">
          <cell r="F220">
            <v>0</v>
          </cell>
        </row>
        <row r="244">
          <cell r="F244">
            <v>0</v>
          </cell>
          <cell r="H244">
            <v>0</v>
          </cell>
        </row>
        <row r="255">
          <cell r="F255">
            <v>0</v>
          </cell>
          <cell r="H2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sz.m-önk.össze.bev"/>
      <sheetName val="1 .sz.m.önk.össz.kiad."/>
      <sheetName val="2.sz.m.összehasonlító"/>
      <sheetName val="3.sz.m Önk  bev."/>
      <sheetName val="4.sz.m.ÖNK kiadás"/>
      <sheetName val="5.1 sz. m Köz Hiv"/>
      <sheetName val="5.2 sz. m ÁMK"/>
      <sheetName val="6.a.sz.m.fejlesztés (3)"/>
      <sheetName val="6.b.sz.m.intfejl (2)"/>
      <sheetName val="7.sz.m.Dologi kiadás (3)"/>
      <sheetName val="8.sz.m.szociális kiadások (2)"/>
      <sheetName val="9.sz.m.átadott pe (3)"/>
      <sheetName val="10 .sz.m. Létszám (2)"/>
      <sheetName val="11.sz.m.maradvány"/>
      <sheetName val="12.sz.m.mérleg"/>
      <sheetName val="13a.mell.Vagyokim. Beled Önk"/>
      <sheetName val="13b.mell.Vagyokim. Közös Hiv"/>
      <sheetName val="13c.mell.Vagyokim.BÁMK"/>
      <sheetName val="13d.mell Önk. érték nélkül Bele"/>
      <sheetName val="13e.mell érték nélkül Közös Hiv"/>
      <sheetName val="13f.mell érték nélkül BÁMK"/>
      <sheetName val="14. sz adósság kötelezettség"/>
      <sheetName val="15. saját bevételek"/>
      <sheetName val="16. sz.m. hitelállomány"/>
      <sheetName val="17.sz.m.akü"/>
      <sheetName val="18.sz.m. állami támogatás "/>
      <sheetName val="19. sz.m. közvetett tám. (2)"/>
      <sheetName val="20.sz.m.többéves kihatás"/>
      <sheetName val="21.sz.m.részesedések"/>
      <sheetName val="22.sz.m. pe változás"/>
      <sheetName val="üres lap"/>
    </sheetNames>
    <sheetDataSet>
      <sheetData sheetId="14">
        <row r="192">
          <cell r="C1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"/>
  <sheetViews>
    <sheetView zoomScale="70" zoomScaleNormal="70" workbookViewId="0" topLeftCell="A48">
      <selection activeCell="O41" sqref="O41"/>
    </sheetView>
  </sheetViews>
  <sheetFormatPr defaultColWidth="9.140625" defaultRowHeight="12.75"/>
  <cols>
    <col min="1" max="2" width="5.7109375" style="47" customWidth="1"/>
    <col min="3" max="3" width="8.8515625" style="47" customWidth="1"/>
    <col min="4" max="4" width="61.7109375" style="12" customWidth="1"/>
    <col min="5" max="5" width="24.28125" style="249" customWidth="1"/>
    <col min="6" max="7" width="20.00390625" style="249" hidden="1" customWidth="1"/>
    <col min="8" max="11" width="20.00390625" style="249" customWidth="1"/>
    <col min="12" max="13" width="20.00390625" style="249" hidden="1" customWidth="1"/>
    <col min="14" max="16" width="20.00390625" style="249" customWidth="1"/>
    <col min="17" max="17" width="20.00390625" style="249" hidden="1" customWidth="1"/>
    <col min="18" max="18" width="20.00390625" style="250" customWidth="1"/>
    <col min="19" max="20" width="20.00390625" style="249" hidden="1" customWidth="1"/>
    <col min="21" max="21" width="20.00390625" style="249" customWidth="1"/>
    <col min="22" max="24" width="20.00390625" style="250" customWidth="1"/>
    <col min="25" max="26" width="20.00390625" style="250" hidden="1" customWidth="1"/>
    <col min="27" max="29" width="20.00390625" style="250" customWidth="1"/>
    <col min="30" max="30" width="20.00390625" style="250" hidden="1" customWidth="1"/>
    <col min="31" max="31" width="20.00390625" style="250" customWidth="1"/>
    <col min="32" max="16384" width="9.140625" style="250" customWidth="1"/>
  </cols>
  <sheetData>
    <row r="1" spans="1:28" ht="12.75">
      <c r="A1" s="44"/>
      <c r="B1" s="44"/>
      <c r="C1" s="44"/>
      <c r="D1" s="45"/>
      <c r="O1" s="1374" t="s">
        <v>630</v>
      </c>
      <c r="P1" s="1375"/>
      <c r="Q1" s="1375"/>
      <c r="R1" s="1375"/>
      <c r="S1" s="1375"/>
      <c r="T1" s="1375"/>
      <c r="U1" s="1375"/>
      <c r="V1" s="1375"/>
      <c r="W1" s="1375"/>
      <c r="X1" s="1375"/>
      <c r="Y1" s="1375"/>
      <c r="Z1" s="1375"/>
      <c r="AA1" s="1375"/>
      <c r="AB1" s="1375"/>
    </row>
    <row r="2" spans="1:19" ht="34.5" customHeight="1">
      <c r="A2" s="1385" t="s">
        <v>541</v>
      </c>
      <c r="B2" s="1385"/>
      <c r="C2" s="1385"/>
      <c r="D2" s="1385"/>
      <c r="E2" s="1385"/>
      <c r="F2" s="1385"/>
      <c r="G2" s="1385"/>
      <c r="H2" s="1385"/>
      <c r="I2" s="1385"/>
      <c r="J2" s="1385"/>
      <c r="K2" s="1385"/>
      <c r="L2" s="1385"/>
      <c r="M2" s="1385"/>
      <c r="N2" s="1385"/>
      <c r="O2" s="1385"/>
      <c r="P2" s="1385"/>
      <c r="Q2" s="1385"/>
      <c r="R2" s="1385"/>
      <c r="S2" s="185"/>
    </row>
    <row r="3" spans="1:18" ht="13.5" thickBot="1">
      <c r="A3" s="46"/>
      <c r="B3" s="46"/>
      <c r="C3" s="46"/>
      <c r="D3" s="42"/>
      <c r="K3" s="3"/>
      <c r="L3" s="3"/>
      <c r="M3" s="3"/>
      <c r="N3" s="3"/>
      <c r="O3" s="3"/>
      <c r="P3" s="3"/>
      <c r="Q3" s="3"/>
      <c r="R3" s="18" t="s">
        <v>443</v>
      </c>
    </row>
    <row r="4" spans="1:30" ht="45.75" customHeight="1" thickBot="1">
      <c r="A4" s="1386" t="s">
        <v>6</v>
      </c>
      <c r="B4" s="1387"/>
      <c r="C4" s="1387"/>
      <c r="D4" s="251" t="s">
        <v>9</v>
      </c>
      <c r="E4" s="1369" t="s">
        <v>5</v>
      </c>
      <c r="F4" s="1370"/>
      <c r="G4" s="1370"/>
      <c r="H4" s="1370"/>
      <c r="I4" s="1370"/>
      <c r="J4" s="1371"/>
      <c r="K4" s="1369" t="s">
        <v>61</v>
      </c>
      <c r="L4" s="1370"/>
      <c r="M4" s="1370"/>
      <c r="N4" s="1370"/>
      <c r="O4" s="1370"/>
      <c r="P4" s="1370"/>
      <c r="Q4" s="1371"/>
      <c r="R4" s="1369" t="s">
        <v>62</v>
      </c>
      <c r="S4" s="1370"/>
      <c r="T4" s="1370"/>
      <c r="U4" s="1370"/>
      <c r="V4" s="1370"/>
      <c r="W4" s="1371"/>
      <c r="X4" s="1369" t="s">
        <v>66</v>
      </c>
      <c r="Y4" s="1370"/>
      <c r="Z4" s="1370"/>
      <c r="AA4" s="1370"/>
      <c r="AB4" s="1370"/>
      <c r="AC4" s="1370"/>
      <c r="AD4" s="1371"/>
    </row>
    <row r="5" spans="1:29" ht="45.75" customHeight="1" thickBot="1">
      <c r="A5" s="238"/>
      <c r="B5" s="239"/>
      <c r="C5" s="239"/>
      <c r="D5" s="251"/>
      <c r="E5" s="281" t="s">
        <v>65</v>
      </c>
      <c r="F5" s="282" t="s">
        <v>226</v>
      </c>
      <c r="G5" s="282" t="s">
        <v>231</v>
      </c>
      <c r="H5" s="282" t="s">
        <v>233</v>
      </c>
      <c r="I5" s="282" t="s">
        <v>399</v>
      </c>
      <c r="J5" s="283" t="s">
        <v>431</v>
      </c>
      <c r="K5" s="281" t="s">
        <v>65</v>
      </c>
      <c r="L5" s="282" t="s">
        <v>226</v>
      </c>
      <c r="M5" s="282" t="s">
        <v>231</v>
      </c>
      <c r="N5" s="282" t="s">
        <v>233</v>
      </c>
      <c r="O5" s="282" t="s">
        <v>399</v>
      </c>
      <c r="P5" s="283" t="s">
        <v>431</v>
      </c>
      <c r="Q5" s="283" t="s">
        <v>431</v>
      </c>
      <c r="R5" s="281" t="s">
        <v>65</v>
      </c>
      <c r="S5" s="282" t="s">
        <v>226</v>
      </c>
      <c r="T5" s="282" t="s">
        <v>231</v>
      </c>
      <c r="U5" s="282" t="s">
        <v>233</v>
      </c>
      <c r="V5" s="282" t="s">
        <v>399</v>
      </c>
      <c r="W5" s="283" t="s">
        <v>431</v>
      </c>
      <c r="X5" s="281" t="s">
        <v>65</v>
      </c>
      <c r="Y5" s="282" t="s">
        <v>226</v>
      </c>
      <c r="Z5" s="282" t="s">
        <v>231</v>
      </c>
      <c r="AA5" s="282" t="s">
        <v>233</v>
      </c>
      <c r="AB5" s="282" t="s">
        <v>399</v>
      </c>
      <c r="AC5" s="283" t="s">
        <v>431</v>
      </c>
    </row>
    <row r="6" spans="1:29" s="6" customFormat="1" ht="21.75" customHeight="1" thickBot="1">
      <c r="A6" s="57"/>
      <c r="B6" s="1368"/>
      <c r="C6" s="1368"/>
      <c r="D6" s="1368"/>
      <c r="E6" s="284"/>
      <c r="F6" s="223"/>
      <c r="G6" s="223"/>
      <c r="H6" s="223"/>
      <c r="I6" s="223"/>
      <c r="J6" s="598"/>
      <c r="K6" s="284"/>
      <c r="L6" s="223"/>
      <c r="M6" s="223"/>
      <c r="N6" s="223"/>
      <c r="O6" s="223"/>
      <c r="P6" s="223"/>
      <c r="Q6" s="598"/>
      <c r="R6" s="284"/>
      <c r="S6" s="223"/>
      <c r="T6" s="223"/>
      <c r="U6" s="223"/>
      <c r="V6" s="223"/>
      <c r="W6" s="598"/>
      <c r="X6" s="284"/>
      <c r="Y6" s="223"/>
      <c r="Z6" s="223"/>
      <c r="AA6" s="223"/>
      <c r="AC6" s="598"/>
    </row>
    <row r="7" spans="1:31" s="6" customFormat="1" ht="21.75" customHeight="1" thickBot="1">
      <c r="A7" s="57" t="s">
        <v>27</v>
      </c>
      <c r="B7" s="1368" t="s">
        <v>282</v>
      </c>
      <c r="C7" s="1368"/>
      <c r="D7" s="1368"/>
      <c r="E7" s="284">
        <f aca="true" t="shared" si="0" ref="E7:N7">E8+E13+E16+E17+E20</f>
        <v>183340000</v>
      </c>
      <c r="F7" s="223">
        <f t="shared" si="0"/>
        <v>183340000</v>
      </c>
      <c r="G7" s="223">
        <f t="shared" si="0"/>
        <v>183340000</v>
      </c>
      <c r="H7" s="223">
        <f>H8+H13+H16+H17+H20</f>
        <v>203047851</v>
      </c>
      <c r="I7" s="223">
        <f t="shared" si="0"/>
        <v>200819772</v>
      </c>
      <c r="J7" s="1322">
        <f>+I7/H7</f>
        <v>0.9890268279667732</v>
      </c>
      <c r="K7" s="284">
        <f t="shared" si="0"/>
        <v>164901213</v>
      </c>
      <c r="L7" s="284">
        <f t="shared" si="0"/>
        <v>163340761</v>
      </c>
      <c r="M7" s="284">
        <f>M8+M13+M16+M17+M20</f>
        <v>162674373</v>
      </c>
      <c r="N7" s="223">
        <f t="shared" si="0"/>
        <v>174772669</v>
      </c>
      <c r="O7" s="223">
        <f>O8+O13+O16+O17+O20</f>
        <v>172544590</v>
      </c>
      <c r="P7" s="1322">
        <f>+O7/N7</f>
        <v>0.9872515593384913</v>
      </c>
      <c r="Q7" s="599">
        <f>P7/N7</f>
        <v>5.648775434896467E-09</v>
      </c>
      <c r="R7" s="284">
        <f>R8+R13+R16+R17+R20</f>
        <v>18438787</v>
      </c>
      <c r="S7" s="284">
        <f>S8+S13+S16+S17+S20</f>
        <v>19999239</v>
      </c>
      <c r="T7" s="284">
        <f>T8+T13+T16+T17+T20</f>
        <v>20665627</v>
      </c>
      <c r="U7" s="284">
        <f>U8+U13+U16+U17+U20</f>
        <v>28275182</v>
      </c>
      <c r="V7" s="284">
        <f>V8+V13+V16+V17+V20</f>
        <v>28275182</v>
      </c>
      <c r="W7" s="1322">
        <f>+V7/U7</f>
        <v>1</v>
      </c>
      <c r="X7" s="284">
        <f aca="true" t="shared" si="1" ref="X7:AD7">X8+X13+X16+X17+X20</f>
        <v>5776781</v>
      </c>
      <c r="Y7" s="284">
        <f t="shared" si="1"/>
        <v>5776781</v>
      </c>
      <c r="Z7" s="284">
        <f>Z8+Z13+Z16+Z17+Z20</f>
        <v>5776781</v>
      </c>
      <c r="AA7" s="284">
        <f t="shared" si="1"/>
        <v>5776781</v>
      </c>
      <c r="AB7" s="284">
        <f t="shared" si="1"/>
        <v>5538912</v>
      </c>
      <c r="AC7" s="1322">
        <f>+AB7/AA7</f>
        <v>0.958823261605382</v>
      </c>
      <c r="AD7" s="284">
        <f t="shared" si="1"/>
        <v>5610894</v>
      </c>
      <c r="AE7" s="813"/>
    </row>
    <row r="8" spans="1:31" ht="21.75" customHeight="1">
      <c r="A8" s="483"/>
      <c r="B8" s="187" t="s">
        <v>36</v>
      </c>
      <c r="C8" s="1376" t="s">
        <v>283</v>
      </c>
      <c r="D8" s="1376"/>
      <c r="E8" s="344">
        <f aca="true" t="shared" si="2" ref="E8:N8">SUM(E9:E12)</f>
        <v>18780000</v>
      </c>
      <c r="F8" s="345">
        <f t="shared" si="2"/>
        <v>18780000</v>
      </c>
      <c r="G8" s="345">
        <f t="shared" si="2"/>
        <v>18780000</v>
      </c>
      <c r="H8" s="345">
        <f>SUM(H9:H12)</f>
        <v>20016326</v>
      </c>
      <c r="I8" s="345">
        <f t="shared" si="2"/>
        <v>19923995</v>
      </c>
      <c r="J8" s="1323">
        <f aca="true" t="shared" si="3" ref="J8:J64">+I8/H8</f>
        <v>0.9953872154160559</v>
      </c>
      <c r="K8" s="344">
        <f t="shared" si="2"/>
        <v>18780000</v>
      </c>
      <c r="L8" s="344">
        <f t="shared" si="2"/>
        <v>18780000</v>
      </c>
      <c r="M8" s="344">
        <f>SUM(M9:M12)</f>
        <v>18780000</v>
      </c>
      <c r="N8" s="345">
        <f t="shared" si="2"/>
        <v>20016326</v>
      </c>
      <c r="O8" s="345">
        <f>SUM(O9:O12)</f>
        <v>19923995</v>
      </c>
      <c r="P8" s="1323">
        <f aca="true" t="shared" si="4" ref="P8:P64">+O8/N8</f>
        <v>0.9953872154160559</v>
      </c>
      <c r="Q8" s="600">
        <f>P8/N8</f>
        <v>4.9728767178155265E-08</v>
      </c>
      <c r="R8" s="344">
        <v>0</v>
      </c>
      <c r="S8" s="344">
        <v>0</v>
      </c>
      <c r="T8" s="344">
        <v>0</v>
      </c>
      <c r="U8" s="344">
        <v>0</v>
      </c>
      <c r="V8" s="344">
        <v>0</v>
      </c>
      <c r="W8" s="1323"/>
      <c r="X8" s="344">
        <v>0</v>
      </c>
      <c r="Y8" s="344">
        <v>0</v>
      </c>
      <c r="Z8" s="344">
        <v>0</v>
      </c>
      <c r="AA8" s="344">
        <v>0</v>
      </c>
      <c r="AB8" s="344">
        <v>0</v>
      </c>
      <c r="AC8" s="1323"/>
      <c r="AD8" s="344">
        <v>0</v>
      </c>
      <c r="AE8" s="813"/>
    </row>
    <row r="9" spans="1:31" ht="21.75" customHeight="1">
      <c r="A9" s="54"/>
      <c r="B9" s="50"/>
      <c r="C9" s="50" t="s">
        <v>288</v>
      </c>
      <c r="D9" s="188" t="s">
        <v>284</v>
      </c>
      <c r="E9" s="286">
        <f>'3.sz.m Önk  bev.'!E9</f>
        <v>0</v>
      </c>
      <c r="F9" s="225">
        <f>'3.sz.m Önk  bev.'!F9</f>
        <v>0</v>
      </c>
      <c r="G9" s="225">
        <f>'3.sz.m Önk  bev.'!G9</f>
        <v>0</v>
      </c>
      <c r="H9" s="225">
        <f>'3.sz.m Önk  bev.'!H9</f>
        <v>0</v>
      </c>
      <c r="I9" s="225">
        <f>'3.sz.m Önk  bev.'!I9</f>
        <v>0</v>
      </c>
      <c r="J9" s="1324"/>
      <c r="K9" s="286">
        <f>'3.sz.m Önk  bev.'!L9</f>
        <v>0</v>
      </c>
      <c r="L9" s="286">
        <f>'3.sz.m Önk  bev.'!M9</f>
        <v>0</v>
      </c>
      <c r="M9" s="286">
        <f>'3.sz.m Önk  bev.'!N9</f>
        <v>0</v>
      </c>
      <c r="N9" s="225">
        <f>'3.sz.m Önk  bev.'!O9</f>
        <v>0</v>
      </c>
      <c r="O9" s="225">
        <f>'3.sz.m Önk  bev.'!P9</f>
        <v>0</v>
      </c>
      <c r="P9" s="1324"/>
      <c r="Q9" s="601"/>
      <c r="R9" s="286">
        <v>0</v>
      </c>
      <c r="S9" s="286">
        <v>0</v>
      </c>
      <c r="T9" s="286">
        <v>0</v>
      </c>
      <c r="U9" s="286">
        <v>0</v>
      </c>
      <c r="V9" s="286">
        <v>0</v>
      </c>
      <c r="W9" s="1324"/>
      <c r="X9" s="286">
        <v>0</v>
      </c>
      <c r="Y9" s="286">
        <v>0</v>
      </c>
      <c r="Z9" s="286">
        <v>0</v>
      </c>
      <c r="AA9" s="286">
        <v>0</v>
      </c>
      <c r="AB9" s="286">
        <v>0</v>
      </c>
      <c r="AC9" s="1324"/>
      <c r="AD9" s="286">
        <v>0</v>
      </c>
      <c r="AE9" s="813"/>
    </row>
    <row r="10" spans="1:31" ht="21.75" customHeight="1">
      <c r="A10" s="54"/>
      <c r="B10" s="50"/>
      <c r="C10" s="50" t="s">
        <v>289</v>
      </c>
      <c r="D10" s="188" t="s">
        <v>269</v>
      </c>
      <c r="E10" s="286">
        <f>'3.sz.m Önk  bev.'!E10</f>
        <v>0</v>
      </c>
      <c r="F10" s="225">
        <f>'3.sz.m Önk  bev.'!F10</f>
        <v>0</v>
      </c>
      <c r="G10" s="225">
        <f>'3.sz.m Önk  bev.'!G10</f>
        <v>0</v>
      </c>
      <c r="H10" s="225">
        <f>'3.sz.m Önk  bev.'!H10</f>
        <v>0</v>
      </c>
      <c r="I10" s="225">
        <f>'3.sz.m Önk  bev.'!I10</f>
        <v>0</v>
      </c>
      <c r="J10" s="1324"/>
      <c r="K10" s="286">
        <f>'3.sz.m Önk  bev.'!L10</f>
        <v>0</v>
      </c>
      <c r="L10" s="286">
        <f>'3.sz.m Önk  bev.'!M10</f>
        <v>0</v>
      </c>
      <c r="M10" s="286">
        <f>'3.sz.m Önk  bev.'!N10</f>
        <v>0</v>
      </c>
      <c r="N10" s="225">
        <f>'3.sz.m Önk  bev.'!O10</f>
        <v>0</v>
      </c>
      <c r="O10" s="225">
        <f>'3.sz.m Önk  bev.'!P10</f>
        <v>0</v>
      </c>
      <c r="P10" s="1324"/>
      <c r="Q10" s="601"/>
      <c r="R10" s="286">
        <v>0</v>
      </c>
      <c r="S10" s="286">
        <v>0</v>
      </c>
      <c r="T10" s="286">
        <v>0</v>
      </c>
      <c r="U10" s="286">
        <v>0</v>
      </c>
      <c r="V10" s="286">
        <v>0</v>
      </c>
      <c r="W10" s="1324"/>
      <c r="X10" s="286">
        <v>0</v>
      </c>
      <c r="Y10" s="286">
        <v>0</v>
      </c>
      <c r="Z10" s="286">
        <v>0</v>
      </c>
      <c r="AA10" s="286">
        <v>0</v>
      </c>
      <c r="AB10" s="286">
        <v>0</v>
      </c>
      <c r="AC10" s="1324"/>
      <c r="AD10" s="286">
        <v>0</v>
      </c>
      <c r="AE10" s="813"/>
    </row>
    <row r="11" spans="1:31" ht="21.75" customHeight="1">
      <c r="A11" s="54"/>
      <c r="B11" s="50"/>
      <c r="C11" s="50" t="s">
        <v>290</v>
      </c>
      <c r="D11" s="188" t="s">
        <v>268</v>
      </c>
      <c r="E11" s="286">
        <f>'3.sz.m Önk  bev.'!E11</f>
        <v>18780000</v>
      </c>
      <c r="F11" s="225">
        <f>'3.sz.m Önk  bev.'!F11</f>
        <v>18780000</v>
      </c>
      <c r="G11" s="225">
        <f>'3.sz.m Önk  bev.'!G11</f>
        <v>18780000</v>
      </c>
      <c r="H11" s="225">
        <f>'3.sz.m Önk  bev.'!H11</f>
        <v>20016326</v>
      </c>
      <c r="I11" s="225">
        <f>'3.sz.m Önk  bev.'!I11</f>
        <v>19923995</v>
      </c>
      <c r="J11" s="1324">
        <f t="shared" si="3"/>
        <v>0.9953872154160559</v>
      </c>
      <c r="K11" s="286">
        <f>'3.sz.m Önk  bev.'!L11</f>
        <v>18780000</v>
      </c>
      <c r="L11" s="286">
        <f>'3.sz.m Önk  bev.'!M11</f>
        <v>18780000</v>
      </c>
      <c r="M11" s="286">
        <f>'3.sz.m Önk  bev.'!N11</f>
        <v>18780000</v>
      </c>
      <c r="N11" s="225">
        <f>'3.sz.m Önk  bev.'!O11</f>
        <v>20016326</v>
      </c>
      <c r="O11" s="225">
        <f>'3.sz.m Önk  bev.'!P11</f>
        <v>19923995</v>
      </c>
      <c r="P11" s="1324">
        <f t="shared" si="4"/>
        <v>0.9953872154160559</v>
      </c>
      <c r="Q11" s="601">
        <f aca="true" t="shared" si="5" ref="Q11:Q64">P11/N11</f>
        <v>4.9728767178155265E-08</v>
      </c>
      <c r="R11" s="286">
        <v>0</v>
      </c>
      <c r="S11" s="286">
        <v>0</v>
      </c>
      <c r="T11" s="286">
        <v>0</v>
      </c>
      <c r="U11" s="286">
        <v>0</v>
      </c>
      <c r="V11" s="286">
        <v>0</v>
      </c>
      <c r="W11" s="1324"/>
      <c r="X11" s="286">
        <v>0</v>
      </c>
      <c r="Y11" s="286">
        <v>0</v>
      </c>
      <c r="Z11" s="286">
        <v>0</v>
      </c>
      <c r="AA11" s="286">
        <v>0</v>
      </c>
      <c r="AB11" s="286">
        <v>0</v>
      </c>
      <c r="AC11" s="1324"/>
      <c r="AD11" s="286">
        <v>0</v>
      </c>
      <c r="AE11" s="813"/>
    </row>
    <row r="12" spans="1:33" ht="21.75" customHeight="1" hidden="1">
      <c r="A12" s="54"/>
      <c r="B12" s="50"/>
      <c r="C12" s="50"/>
      <c r="D12" s="188"/>
      <c r="E12" s="286"/>
      <c r="F12" s="225"/>
      <c r="G12" s="225"/>
      <c r="H12" s="225"/>
      <c r="I12" s="225"/>
      <c r="J12" s="1324" t="e">
        <f t="shared" si="3"/>
        <v>#DIV/0!</v>
      </c>
      <c r="K12" s="286"/>
      <c r="L12" s="286"/>
      <c r="M12" s="286"/>
      <c r="N12" s="225"/>
      <c r="O12" s="225"/>
      <c r="P12" s="1324" t="e">
        <f t="shared" si="4"/>
        <v>#DIV/0!</v>
      </c>
      <c r="Q12" s="601" t="e">
        <f t="shared" si="5"/>
        <v>#DIV/0!</v>
      </c>
      <c r="R12" s="286"/>
      <c r="S12" s="286"/>
      <c r="T12" s="286"/>
      <c r="U12" s="286"/>
      <c r="V12" s="286"/>
      <c r="W12" s="1324" t="e">
        <f>+V12/U12</f>
        <v>#DIV/0!</v>
      </c>
      <c r="X12" s="286"/>
      <c r="Y12" s="286"/>
      <c r="Z12" s="286"/>
      <c r="AA12" s="286"/>
      <c r="AB12" s="286"/>
      <c r="AC12" s="1324" t="e">
        <f>+AB12/AA12</f>
        <v>#DIV/0!</v>
      </c>
      <c r="AD12" s="286"/>
      <c r="AE12" s="813"/>
      <c r="AG12" s="250" t="s">
        <v>242</v>
      </c>
    </row>
    <row r="13" spans="1:31" ht="21.75" customHeight="1">
      <c r="A13" s="54"/>
      <c r="B13" s="50" t="s">
        <v>37</v>
      </c>
      <c r="C13" s="1380" t="s">
        <v>285</v>
      </c>
      <c r="D13" s="1380"/>
      <c r="E13" s="286">
        <f aca="true" t="shared" si="6" ref="E13:X13">SUM(E14:E15)</f>
        <v>150000000</v>
      </c>
      <c r="F13" s="225">
        <f t="shared" si="6"/>
        <v>150000000</v>
      </c>
      <c r="G13" s="225">
        <f t="shared" si="6"/>
        <v>150000000</v>
      </c>
      <c r="H13" s="225">
        <f>SUM(H14:H15)</f>
        <v>166418289</v>
      </c>
      <c r="I13" s="225">
        <f t="shared" si="6"/>
        <v>165405197</v>
      </c>
      <c r="J13" s="1324">
        <f t="shared" si="3"/>
        <v>0.9939123758206647</v>
      </c>
      <c r="K13" s="286">
        <f t="shared" si="6"/>
        <v>131561213</v>
      </c>
      <c r="L13" s="286">
        <f t="shared" si="6"/>
        <v>130000761</v>
      </c>
      <c r="M13" s="286">
        <f>SUM(M14:M15)</f>
        <v>129334373</v>
      </c>
      <c r="N13" s="225">
        <f t="shared" si="6"/>
        <v>138143107</v>
      </c>
      <c r="O13" s="225">
        <f>SUM(O14:O15)</f>
        <v>137130015</v>
      </c>
      <c r="P13" s="1324">
        <f t="shared" si="4"/>
        <v>0.9926663586623978</v>
      </c>
      <c r="Q13" s="286">
        <f t="shared" si="6"/>
        <v>7.185782774253064E-09</v>
      </c>
      <c r="R13" s="286">
        <f t="shared" si="6"/>
        <v>18438787</v>
      </c>
      <c r="S13" s="286">
        <f t="shared" si="6"/>
        <v>19999239</v>
      </c>
      <c r="T13" s="286">
        <f>SUM(T14:T15)</f>
        <v>20665627</v>
      </c>
      <c r="U13" s="286">
        <f>SUM(U14:U15)</f>
        <v>28275182</v>
      </c>
      <c r="V13" s="286">
        <f>SUM(V14:V15)</f>
        <v>28275182</v>
      </c>
      <c r="W13" s="1324">
        <f>+V13/U13</f>
        <v>1</v>
      </c>
      <c r="X13" s="286">
        <f t="shared" si="6"/>
        <v>5776781</v>
      </c>
      <c r="Y13" s="286">
        <f aca="true" t="shared" si="7" ref="Y13:AD13">SUM(Y14:Y15)</f>
        <v>5776781</v>
      </c>
      <c r="Z13" s="286">
        <f>SUM(Z14:Z15)</f>
        <v>5776781</v>
      </c>
      <c r="AA13" s="286">
        <f t="shared" si="7"/>
        <v>5776781</v>
      </c>
      <c r="AB13" s="286">
        <f t="shared" si="7"/>
        <v>5538912</v>
      </c>
      <c r="AC13" s="1324">
        <f>+AB13/AA13</f>
        <v>0.958823261605382</v>
      </c>
      <c r="AD13" s="286">
        <f t="shared" si="7"/>
        <v>5610894</v>
      </c>
      <c r="AE13" s="813"/>
    </row>
    <row r="14" spans="1:31" ht="21.75" customHeight="1">
      <c r="A14" s="54"/>
      <c r="B14" s="50"/>
      <c r="C14" s="50" t="s">
        <v>286</v>
      </c>
      <c r="D14" s="432" t="s">
        <v>291</v>
      </c>
      <c r="E14" s="286">
        <f>'3.sz.m Önk  bev.'!E14</f>
        <v>150000000</v>
      </c>
      <c r="F14" s="225">
        <f>'3.sz.m Önk  bev.'!F14</f>
        <v>150000000</v>
      </c>
      <c r="G14" s="225">
        <f>'3.sz.m Önk  bev.'!G14</f>
        <v>150000000</v>
      </c>
      <c r="H14" s="225">
        <f>'3.sz.m Önk  bev.'!H14</f>
        <v>166418289</v>
      </c>
      <c r="I14" s="225">
        <f>'3.sz.m Önk  bev.'!I14</f>
        <v>165405197</v>
      </c>
      <c r="J14" s="1324">
        <f t="shared" si="3"/>
        <v>0.9939123758206647</v>
      </c>
      <c r="K14" s="286">
        <f>'3.sz.m Önk  bev.'!L14</f>
        <v>131561213</v>
      </c>
      <c r="L14" s="286">
        <f>'3.sz.m Önk  bev.'!M14</f>
        <v>130000761</v>
      </c>
      <c r="M14" s="286">
        <f>'3.sz.m Önk  bev.'!N14</f>
        <v>129334373</v>
      </c>
      <c r="N14" s="225">
        <f>'3.sz.m Önk  bev.'!O14</f>
        <v>138143107</v>
      </c>
      <c r="O14" s="225">
        <f>'3.sz.m Önk  bev.'!P14</f>
        <v>137130015</v>
      </c>
      <c r="P14" s="1324">
        <f t="shared" si="4"/>
        <v>0.9926663586623978</v>
      </c>
      <c r="Q14" s="601">
        <f t="shared" si="5"/>
        <v>7.185782774253064E-09</v>
      </c>
      <c r="R14" s="286">
        <f>'3.sz.m Önk  bev.'!S14</f>
        <v>18438787</v>
      </c>
      <c r="S14" s="286">
        <f>'3.sz.m Önk  bev.'!T14</f>
        <v>19999239</v>
      </c>
      <c r="T14" s="286">
        <f>'3.sz.m Önk  bev.'!U14</f>
        <v>20665627</v>
      </c>
      <c r="U14" s="286">
        <f>'3.sz.m Önk  bev.'!V14</f>
        <v>28275182</v>
      </c>
      <c r="V14" s="286">
        <f>'3.sz.m Önk  bev.'!W14</f>
        <v>28275182</v>
      </c>
      <c r="W14" s="1324">
        <f>+V14/U14</f>
        <v>1</v>
      </c>
      <c r="X14" s="286">
        <v>5776781</v>
      </c>
      <c r="Y14" s="286">
        <v>5776781</v>
      </c>
      <c r="Z14" s="286">
        <v>5776781</v>
      </c>
      <c r="AA14" s="286">
        <v>5776781</v>
      </c>
      <c r="AB14" s="286">
        <v>5538912</v>
      </c>
      <c r="AC14" s="1324">
        <f>+AB14/AA14</f>
        <v>0.958823261605382</v>
      </c>
      <c r="AD14" s="286">
        <v>5610894</v>
      </c>
      <c r="AE14" s="813"/>
    </row>
    <row r="15" spans="1:31" ht="21.75" customHeight="1">
      <c r="A15" s="54"/>
      <c r="B15" s="50"/>
      <c r="C15" s="50" t="s">
        <v>287</v>
      </c>
      <c r="D15" s="432" t="s">
        <v>292</v>
      </c>
      <c r="E15" s="286">
        <f>'3.sz.m Önk  bev.'!E15</f>
        <v>0</v>
      </c>
      <c r="F15" s="225">
        <f>'3.sz.m Önk  bev.'!F15</f>
        <v>0</v>
      </c>
      <c r="G15" s="225">
        <f>'3.sz.m Önk  bev.'!G15</f>
        <v>0</v>
      </c>
      <c r="H15" s="225">
        <f>'3.sz.m Önk  bev.'!H15</f>
        <v>0</v>
      </c>
      <c r="I15" s="225">
        <f>'3.sz.m Önk  bev.'!I15</f>
        <v>0</v>
      </c>
      <c r="J15" s="1324"/>
      <c r="K15" s="286">
        <f>'3.sz.m Önk  bev.'!L15</f>
        <v>0</v>
      </c>
      <c r="L15" s="286">
        <f>'3.sz.m Önk  bev.'!M15</f>
        <v>0</v>
      </c>
      <c r="M15" s="286">
        <f>'3.sz.m Önk  bev.'!N15</f>
        <v>0</v>
      </c>
      <c r="N15" s="225">
        <f>'3.sz.m Önk  bev.'!O15</f>
        <v>0</v>
      </c>
      <c r="O15" s="225">
        <f>'3.sz.m Önk  bev.'!P15</f>
        <v>0</v>
      </c>
      <c r="P15" s="1324"/>
      <c r="Q15" s="601"/>
      <c r="R15" s="286">
        <v>0</v>
      </c>
      <c r="S15" s="286">
        <v>0</v>
      </c>
      <c r="T15" s="286">
        <v>0</v>
      </c>
      <c r="U15" s="286">
        <v>0</v>
      </c>
      <c r="V15" s="286">
        <v>0</v>
      </c>
      <c r="W15" s="1324"/>
      <c r="X15" s="286">
        <v>0</v>
      </c>
      <c r="Y15" s="286">
        <v>0</v>
      </c>
      <c r="Z15" s="286">
        <v>0</v>
      </c>
      <c r="AA15" s="286">
        <v>0</v>
      </c>
      <c r="AB15" s="286">
        <v>0</v>
      </c>
      <c r="AC15" s="1324"/>
      <c r="AD15" s="286">
        <v>0</v>
      </c>
      <c r="AE15" s="813"/>
    </row>
    <row r="16" spans="1:31" ht="21.75" customHeight="1">
      <c r="A16" s="54"/>
      <c r="B16" s="50" t="s">
        <v>113</v>
      </c>
      <c r="C16" s="1380" t="s">
        <v>293</v>
      </c>
      <c r="D16" s="1380"/>
      <c r="E16" s="286">
        <f>'3.sz.m Önk  bev.'!E16</f>
        <v>13500000</v>
      </c>
      <c r="F16" s="225">
        <f>'3.sz.m Önk  bev.'!F16</f>
        <v>13500000</v>
      </c>
      <c r="G16" s="225">
        <f>'3.sz.m Önk  bev.'!G16</f>
        <v>13500000</v>
      </c>
      <c r="H16" s="225">
        <f>'3.sz.m Önk  bev.'!H16</f>
        <v>14520554</v>
      </c>
      <c r="I16" s="225">
        <f>'3.sz.m Önk  bev.'!I16</f>
        <v>13908900</v>
      </c>
      <c r="J16" s="1324">
        <f t="shared" si="3"/>
        <v>0.9578766760551973</v>
      </c>
      <c r="K16" s="286">
        <f>'3.sz.m Önk  bev.'!L16</f>
        <v>13500000</v>
      </c>
      <c r="L16" s="286">
        <f>'3.sz.m Önk  bev.'!M16</f>
        <v>13500000</v>
      </c>
      <c r="M16" s="286">
        <f>'3.sz.m Önk  bev.'!N16</f>
        <v>13500000</v>
      </c>
      <c r="N16" s="225">
        <f>'3.sz.m Önk  bev.'!O16</f>
        <v>14520554</v>
      </c>
      <c r="O16" s="225">
        <f>'3.sz.m Önk  bev.'!P16</f>
        <v>13908900</v>
      </c>
      <c r="P16" s="1324">
        <f t="shared" si="4"/>
        <v>0.9578766760551973</v>
      </c>
      <c r="Q16" s="602">
        <f t="shared" si="5"/>
        <v>6.596695112701605E-08</v>
      </c>
      <c r="R16" s="286">
        <v>0</v>
      </c>
      <c r="S16" s="286">
        <v>0</v>
      </c>
      <c r="T16" s="286">
        <v>0</v>
      </c>
      <c r="U16" s="286">
        <v>0</v>
      </c>
      <c r="V16" s="286">
        <v>0</v>
      </c>
      <c r="W16" s="1324"/>
      <c r="X16" s="286">
        <v>0</v>
      </c>
      <c r="Y16" s="286">
        <v>0</v>
      </c>
      <c r="Z16" s="286">
        <v>0</v>
      </c>
      <c r="AA16" s="286">
        <v>0</v>
      </c>
      <c r="AB16" s="286">
        <v>0</v>
      </c>
      <c r="AC16" s="1324"/>
      <c r="AD16" s="286">
        <v>0</v>
      </c>
      <c r="AE16" s="813"/>
    </row>
    <row r="17" spans="1:31" ht="21.75" customHeight="1">
      <c r="A17" s="54"/>
      <c r="B17" s="50" t="s">
        <v>49</v>
      </c>
      <c r="C17" s="1381" t="s">
        <v>294</v>
      </c>
      <c r="D17" s="1382"/>
      <c r="E17" s="286">
        <f aca="true" t="shared" si="8" ref="E17:N17">SUM(E18:E19)</f>
        <v>0</v>
      </c>
      <c r="F17" s="225">
        <f t="shared" si="8"/>
        <v>0</v>
      </c>
      <c r="G17" s="225">
        <f t="shared" si="8"/>
        <v>0</v>
      </c>
      <c r="H17" s="225">
        <f>SUM(H18:H19)</f>
        <v>0</v>
      </c>
      <c r="I17" s="225">
        <f t="shared" si="8"/>
        <v>0</v>
      </c>
      <c r="J17" s="1324"/>
      <c r="K17" s="286">
        <f t="shared" si="8"/>
        <v>0</v>
      </c>
      <c r="L17" s="286">
        <f t="shared" si="8"/>
        <v>0</v>
      </c>
      <c r="M17" s="286">
        <f>SUM(M18:M19)</f>
        <v>0</v>
      </c>
      <c r="N17" s="225">
        <f t="shared" si="8"/>
        <v>0</v>
      </c>
      <c r="O17" s="225">
        <f>SUM(O18:O19)</f>
        <v>0</v>
      </c>
      <c r="P17" s="1324"/>
      <c r="Q17" s="602" t="e">
        <f t="shared" si="5"/>
        <v>#DIV/0!</v>
      </c>
      <c r="R17" s="286">
        <v>0</v>
      </c>
      <c r="S17" s="286">
        <v>0</v>
      </c>
      <c r="T17" s="286">
        <v>0</v>
      </c>
      <c r="U17" s="286">
        <v>0</v>
      </c>
      <c r="V17" s="286">
        <v>0</v>
      </c>
      <c r="W17" s="1324"/>
      <c r="X17" s="286">
        <v>0</v>
      </c>
      <c r="Y17" s="286">
        <v>0</v>
      </c>
      <c r="Z17" s="286">
        <v>0</v>
      </c>
      <c r="AA17" s="286">
        <v>0</v>
      </c>
      <c r="AB17" s="286">
        <v>0</v>
      </c>
      <c r="AC17" s="1324"/>
      <c r="AD17" s="286">
        <v>0</v>
      </c>
      <c r="AE17" s="813"/>
    </row>
    <row r="18" spans="1:31" ht="21.75" customHeight="1">
      <c r="A18" s="54"/>
      <c r="B18" s="50"/>
      <c r="C18" s="50" t="s">
        <v>295</v>
      </c>
      <c r="D18" s="432" t="s">
        <v>297</v>
      </c>
      <c r="E18" s="286">
        <f>'3.sz.m Önk  bev.'!E18</f>
        <v>0</v>
      </c>
      <c r="F18" s="225">
        <f>'3.sz.m Önk  bev.'!F18</f>
        <v>0</v>
      </c>
      <c r="G18" s="225">
        <f>'3.sz.m Önk  bev.'!G18</f>
        <v>0</v>
      </c>
      <c r="H18" s="225">
        <f>'3.sz.m Önk  bev.'!H18</f>
        <v>0</v>
      </c>
      <c r="I18" s="225">
        <f>'3.sz.m Önk  bev.'!I18</f>
        <v>0</v>
      </c>
      <c r="J18" s="1324"/>
      <c r="K18" s="286">
        <f>'3.sz.m Önk  bev.'!L18</f>
        <v>0</v>
      </c>
      <c r="L18" s="286">
        <f>'3.sz.m Önk  bev.'!M18</f>
        <v>0</v>
      </c>
      <c r="M18" s="286">
        <f>'3.sz.m Önk  bev.'!N18</f>
        <v>0</v>
      </c>
      <c r="N18" s="225">
        <f>'3.sz.m Önk  bev.'!O18</f>
        <v>0</v>
      </c>
      <c r="O18" s="225">
        <f>'3.sz.m Önk  bev.'!P18</f>
        <v>0</v>
      </c>
      <c r="P18" s="1324"/>
      <c r="Q18" s="602"/>
      <c r="R18" s="286">
        <v>0</v>
      </c>
      <c r="S18" s="286">
        <v>0</v>
      </c>
      <c r="T18" s="286">
        <v>0</v>
      </c>
      <c r="U18" s="286">
        <v>0</v>
      </c>
      <c r="V18" s="286">
        <v>0</v>
      </c>
      <c r="W18" s="1324"/>
      <c r="X18" s="286">
        <v>0</v>
      </c>
      <c r="Y18" s="286">
        <v>0</v>
      </c>
      <c r="Z18" s="286">
        <v>0</v>
      </c>
      <c r="AA18" s="286">
        <v>0</v>
      </c>
      <c r="AB18" s="286">
        <v>0</v>
      </c>
      <c r="AC18" s="1324"/>
      <c r="AD18" s="286">
        <v>0</v>
      </c>
      <c r="AE18" s="813"/>
    </row>
    <row r="19" spans="1:31" ht="21.75" customHeight="1" hidden="1">
      <c r="A19" s="54"/>
      <c r="B19" s="50"/>
      <c r="C19" s="50" t="s">
        <v>296</v>
      </c>
      <c r="D19" s="432" t="s">
        <v>270</v>
      </c>
      <c r="E19" s="286">
        <f>'3.sz.m Önk  bev.'!E19</f>
        <v>0</v>
      </c>
      <c r="F19" s="225">
        <f>'3.sz.m Önk  bev.'!F19</f>
        <v>0</v>
      </c>
      <c r="G19" s="225">
        <f>'3.sz.m Önk  bev.'!G19</f>
        <v>0</v>
      </c>
      <c r="H19" s="225">
        <f>'3.sz.m Önk  bev.'!H19</f>
        <v>0</v>
      </c>
      <c r="I19" s="225">
        <f>'3.sz.m Önk  bev.'!I19</f>
        <v>0</v>
      </c>
      <c r="J19" s="1324" t="e">
        <f t="shared" si="3"/>
        <v>#DIV/0!</v>
      </c>
      <c r="K19" s="286">
        <f>'3.sz.m Önk  bev.'!L19</f>
        <v>0</v>
      </c>
      <c r="L19" s="286">
        <f>'3.sz.m Önk  bev.'!M19</f>
        <v>0</v>
      </c>
      <c r="M19" s="286">
        <f>'3.sz.m Önk  bev.'!N19</f>
        <v>0</v>
      </c>
      <c r="N19" s="225">
        <f>'3.sz.m Önk  bev.'!O19</f>
        <v>0</v>
      </c>
      <c r="O19" s="225">
        <f>'3.sz.m Önk  bev.'!P19</f>
        <v>0</v>
      </c>
      <c r="P19" s="1324" t="e">
        <f t="shared" si="4"/>
        <v>#DIV/0!</v>
      </c>
      <c r="Q19" s="602" t="e">
        <f t="shared" si="5"/>
        <v>#DIV/0!</v>
      </c>
      <c r="R19" s="286">
        <v>0</v>
      </c>
      <c r="S19" s="286">
        <v>0</v>
      </c>
      <c r="T19" s="286">
        <v>0</v>
      </c>
      <c r="U19" s="286">
        <v>0</v>
      </c>
      <c r="V19" s="286">
        <v>0</v>
      </c>
      <c r="W19" s="1324"/>
      <c r="X19" s="286">
        <v>0</v>
      </c>
      <c r="Y19" s="286">
        <v>0</v>
      </c>
      <c r="Z19" s="286">
        <v>0</v>
      </c>
      <c r="AA19" s="286">
        <v>0</v>
      </c>
      <c r="AB19" s="286">
        <v>0</v>
      </c>
      <c r="AC19" s="1324"/>
      <c r="AD19" s="286">
        <v>0</v>
      </c>
      <c r="AE19" s="813"/>
    </row>
    <row r="20" spans="1:31" ht="21.75" customHeight="1" thickBot="1">
      <c r="A20" s="346"/>
      <c r="B20" s="484" t="s">
        <v>50</v>
      </c>
      <c r="C20" s="1383" t="s">
        <v>298</v>
      </c>
      <c r="D20" s="1384"/>
      <c r="E20" s="286">
        <f>'3.sz.m Önk  bev.'!E20</f>
        <v>1060000</v>
      </c>
      <c r="F20" s="225">
        <f>'3.sz.m Önk  bev.'!F20</f>
        <v>1060000</v>
      </c>
      <c r="G20" s="225">
        <f>'3.sz.m Önk  bev.'!G20</f>
        <v>1060000</v>
      </c>
      <c r="H20" s="225">
        <f>'3.sz.m Önk  bev.'!H20</f>
        <v>2092682</v>
      </c>
      <c r="I20" s="225">
        <f>'3.sz.m Önk  bev.'!I20</f>
        <v>1581680</v>
      </c>
      <c r="J20" s="1324">
        <f t="shared" si="3"/>
        <v>0.755814786957598</v>
      </c>
      <c r="K20" s="286">
        <f>'3.sz.m Önk  bev.'!L20</f>
        <v>1060000</v>
      </c>
      <c r="L20" s="286">
        <f>'3.sz.m Önk  bev.'!M20</f>
        <v>1060000</v>
      </c>
      <c r="M20" s="286">
        <f>'3.sz.m Önk  bev.'!N20</f>
        <v>1060000</v>
      </c>
      <c r="N20" s="225">
        <f>'3.sz.m Önk  bev.'!O20</f>
        <v>2092682</v>
      </c>
      <c r="O20" s="225">
        <f>'3.sz.m Önk  bev.'!P20</f>
        <v>1581680</v>
      </c>
      <c r="P20" s="1324">
        <f t="shared" si="4"/>
        <v>0.755814786957598</v>
      </c>
      <c r="Q20" s="603">
        <f t="shared" si="5"/>
        <v>3.611703961507759E-07</v>
      </c>
      <c r="R20" s="286">
        <v>0</v>
      </c>
      <c r="S20" s="286">
        <v>0</v>
      </c>
      <c r="T20" s="286">
        <v>0</v>
      </c>
      <c r="U20" s="286">
        <v>0</v>
      </c>
      <c r="V20" s="286">
        <v>0</v>
      </c>
      <c r="W20" s="1324"/>
      <c r="X20" s="286">
        <v>0</v>
      </c>
      <c r="Y20" s="286">
        <v>0</v>
      </c>
      <c r="Z20" s="286">
        <v>0</v>
      </c>
      <c r="AA20" s="286">
        <v>0</v>
      </c>
      <c r="AB20" s="286">
        <v>0</v>
      </c>
      <c r="AC20" s="1324"/>
      <c r="AD20" s="286">
        <v>0</v>
      </c>
      <c r="AE20" s="813"/>
    </row>
    <row r="21" spans="1:31" ht="21.75" customHeight="1" thickBot="1">
      <c r="A21" s="57" t="s">
        <v>299</v>
      </c>
      <c r="B21" s="1368" t="s">
        <v>300</v>
      </c>
      <c r="C21" s="1368"/>
      <c r="D21" s="1368"/>
      <c r="E21" s="284">
        <f>E22+E23+E25+E29+E30+E31+E32+E24</f>
        <v>75823101</v>
      </c>
      <c r="F21" s="284">
        <f>F22+F23+F25+F29+F30+F31+F32+F24</f>
        <v>76412216</v>
      </c>
      <c r="G21" s="284">
        <f>G22+G23+G25+G29+G30+G31+G32+G24</f>
        <v>63983373</v>
      </c>
      <c r="H21" s="284">
        <f>H22+H23+H25+H29+H30+H31+H32+H24+H33</f>
        <v>52897890</v>
      </c>
      <c r="I21" s="284">
        <f>I22+I23+I25+I29+I30+I31+I32+I24+I33</f>
        <v>52542043</v>
      </c>
      <c r="J21" s="1325">
        <f t="shared" si="3"/>
        <v>0.9932729452913907</v>
      </c>
      <c r="K21" s="284">
        <f>K22+K23+K25+K29+K30+K31+K32</f>
        <v>75823101</v>
      </c>
      <c r="L21" s="284">
        <f>+L22+L23+L24+L25+L29+L31+L32+L33</f>
        <v>76412216</v>
      </c>
      <c r="M21" s="284">
        <f>+M22+M23+M24+M25+M29+M31+M32+M33</f>
        <v>63983373</v>
      </c>
      <c r="N21" s="284">
        <f>N22+N23+N25+N29+N30+N31+N32+N24+N33</f>
        <v>52491314</v>
      </c>
      <c r="O21" s="284">
        <f>O22+O23+O25+O29+O31+O32+O24+O33</f>
        <v>52135467</v>
      </c>
      <c r="P21" s="1325">
        <f t="shared" si="4"/>
        <v>0.9932208403089319</v>
      </c>
      <c r="Q21" s="284">
        <f>Q22+Q23+Q25+Q29+Q30+Q31+Q32+Q24</f>
        <v>3.0000097331434095</v>
      </c>
      <c r="R21" s="284">
        <f>R22+R23+R25+R29+R30+R31+R32</f>
        <v>0</v>
      </c>
      <c r="S21" s="284">
        <f>S22+S23+S25+S29+S30+S31+S32</f>
        <v>0</v>
      </c>
      <c r="T21" s="284">
        <f>T22+T23+T25+T29+T30+T31+T32</f>
        <v>0</v>
      </c>
      <c r="U21" s="284">
        <f>U22+U23+U25+U29+U30+U31+U32</f>
        <v>406576</v>
      </c>
      <c r="V21" s="284">
        <f>V22+V23+V25+V29+V30+V31+V32</f>
        <v>406576</v>
      </c>
      <c r="W21" s="1325">
        <f>+V21/U21</f>
        <v>1</v>
      </c>
      <c r="X21" s="284">
        <f aca="true" t="shared" si="9" ref="X21:AD21">X22+X23+X25+X29+X30+X31+X32</f>
        <v>0</v>
      </c>
      <c r="Y21" s="284">
        <f t="shared" si="9"/>
        <v>0</v>
      </c>
      <c r="Z21" s="284">
        <f>Z22+Z23+Z25+Z29+Z30+Z31+Z32</f>
        <v>0</v>
      </c>
      <c r="AA21" s="284">
        <f t="shared" si="9"/>
        <v>0</v>
      </c>
      <c r="AB21" s="284">
        <f t="shared" si="9"/>
        <v>0</v>
      </c>
      <c r="AC21" s="1325"/>
      <c r="AD21" s="284">
        <f t="shared" si="9"/>
        <v>0</v>
      </c>
      <c r="AE21" s="813"/>
    </row>
    <row r="22" spans="1:31" ht="21.75" customHeight="1">
      <c r="A22" s="55"/>
      <c r="B22" s="56" t="s">
        <v>39</v>
      </c>
      <c r="C22" s="1372" t="s">
        <v>301</v>
      </c>
      <c r="D22" s="1372"/>
      <c r="E22" s="224">
        <f>'3.sz.m Önk  bev.'!E22+'5.1 sz. m Köz Hiv'!D10+'5.2 sz. m ÁMK'!D10</f>
        <v>25604560</v>
      </c>
      <c r="F22" s="224">
        <f>'3.sz.m Önk  bev.'!F22+'5.1 sz. m Köz Hiv'!E10+'5.2 sz. m ÁMK'!E10</f>
        <v>27674260</v>
      </c>
      <c r="G22" s="224">
        <f>'3.sz.m Önk  bev.'!G22+'5.1 sz. m Köz Hiv'!F10+'5.2 sz. m ÁMK'!F10</f>
        <v>27674260</v>
      </c>
      <c r="H22" s="224">
        <f>'3.sz.m Önk  bev.'!H22+'5.1 sz. m Köz Hiv'!G10+'5.2 sz. m ÁMK'!G10</f>
        <v>29804745</v>
      </c>
      <c r="I22" s="224">
        <f>'3.sz.m Önk  bev.'!I22+'5.1 sz. m Köz Hiv'!H10+'5.2 sz. m ÁMK'!H10</f>
        <v>29802508</v>
      </c>
      <c r="J22" s="1326">
        <f t="shared" si="3"/>
        <v>0.9999249448368037</v>
      </c>
      <c r="K22" s="285">
        <f>'3.sz.m Önk  bev.'!L22+'5.2 sz. m ÁMK'!L9</f>
        <v>44305855</v>
      </c>
      <c r="L22" s="224">
        <f>'3.sz.m Önk  bev.'!L22+'5.1 sz. m Köz Hiv'!K10+'5.2 sz. m ÁMK'!M10</f>
        <v>27674260</v>
      </c>
      <c r="M22" s="224">
        <f>'3.sz.m Önk  bev.'!M22+'5.1 sz. m Köz Hiv'!L10+'5.2 sz. m ÁMK'!N10</f>
        <v>27674260</v>
      </c>
      <c r="N22" s="224">
        <f>'3.sz.m Önk  bev.'!O22+'5.1 sz. m Köz Hiv'!O10+'5.2 sz. m ÁMK'!O10</f>
        <v>29559482</v>
      </c>
      <c r="O22" s="1329">
        <f>'3.sz.m Önk  bev.'!P22+'5.1 sz. m Köz Hiv'!P10+'5.2 sz. m ÁMK'!P10</f>
        <v>29557245</v>
      </c>
      <c r="P22" s="1326">
        <f t="shared" si="4"/>
        <v>0.9999243220838578</v>
      </c>
      <c r="Q22" s="224">
        <f>'3.sz.m Önk  bev.'!R22+'5.1 sz. m Köz Hiv'!R10+'5.2 sz. m ÁMK'!R10</f>
        <v>9.001933975495295E-08</v>
      </c>
      <c r="R22" s="285">
        <v>0</v>
      </c>
      <c r="S22" s="285">
        <v>0</v>
      </c>
      <c r="T22" s="285">
        <v>0</v>
      </c>
      <c r="U22" s="285">
        <f>+'3.sz.m Önk  bev.'!V22</f>
        <v>245263</v>
      </c>
      <c r="V22" s="1330">
        <f>+'3.sz.m Önk  bev.'!W22</f>
        <v>245263</v>
      </c>
      <c r="W22" s="1326">
        <f>+V22/U22</f>
        <v>1</v>
      </c>
      <c r="X22" s="285">
        <v>0</v>
      </c>
      <c r="Y22" s="285">
        <v>0</v>
      </c>
      <c r="Z22" s="285">
        <v>0</v>
      </c>
      <c r="AA22" s="285">
        <v>0</v>
      </c>
      <c r="AB22" s="285">
        <v>0</v>
      </c>
      <c r="AC22" s="1326"/>
      <c r="AD22" s="285">
        <v>0</v>
      </c>
      <c r="AE22" s="813"/>
    </row>
    <row r="23" spans="1:31" ht="21.75" customHeight="1">
      <c r="A23" s="54"/>
      <c r="B23" s="50" t="s">
        <v>40</v>
      </c>
      <c r="C23" s="1360" t="s">
        <v>302</v>
      </c>
      <c r="D23" s="1360"/>
      <c r="E23" s="224">
        <f>'3.sz.m Önk  bev.'!E23+'5.2 sz. m ÁMK'!D11</f>
        <v>11283000</v>
      </c>
      <c r="F23" s="224">
        <f>'3.sz.m Önk  bev.'!F23+'5.2 sz. m ÁMK'!E11</f>
        <v>11283000</v>
      </c>
      <c r="G23" s="224">
        <f>'3.sz.m Önk  bev.'!G23+'5.2 sz. m ÁMK'!F11</f>
        <v>11283000</v>
      </c>
      <c r="H23" s="224">
        <f>'3.sz.m Önk  bev.'!H23+'5.2 sz. m ÁMK'!G11</f>
        <v>6204361</v>
      </c>
      <c r="I23" s="224">
        <f>'3.sz.m Önk  bev.'!I23+'5.2 sz. m ÁMK'!H11+'5.1 sz. m Köz Hiv'!H11</f>
        <v>5877073</v>
      </c>
      <c r="J23" s="1326">
        <f t="shared" si="3"/>
        <v>0.9472487174746924</v>
      </c>
      <c r="K23" s="287">
        <f>'3.sz.m Önk  bev.'!L23</f>
        <v>5783000</v>
      </c>
      <c r="L23" s="224">
        <f>'3.sz.m Önk  bev.'!L23+'5.2 sz. m ÁMK'!M11</f>
        <v>11283000</v>
      </c>
      <c r="M23" s="224">
        <f>'3.sz.m Önk  bev.'!M23+'5.2 sz. m ÁMK'!N11</f>
        <v>11283000</v>
      </c>
      <c r="N23" s="224">
        <f>'3.sz.m Önk  bev.'!O23+'5.2 sz. m ÁMK'!O11+'5.1 sz. m Köz Hiv'!O11</f>
        <v>6143201</v>
      </c>
      <c r="O23" s="224">
        <f>'3.sz.m Önk  bev.'!P23+'5.2 sz. m ÁMK'!P11+'5.1 sz. m Köz Hiv'!P11</f>
        <v>5815913</v>
      </c>
      <c r="P23" s="1326">
        <f t="shared" si="4"/>
        <v>0.946723540382286</v>
      </c>
      <c r="Q23" s="224">
        <f>'3.sz.m Önk  bev.'!R23+'5.2 sz. m ÁMK'!R11+'5.1 sz. m Köz Hiv'!R11</f>
        <v>3.697731183077999E-07</v>
      </c>
      <c r="R23" s="287">
        <v>0</v>
      </c>
      <c r="S23" s="287">
        <v>0</v>
      </c>
      <c r="T23" s="287">
        <v>0</v>
      </c>
      <c r="U23" s="285">
        <f>+'3.sz.m Önk  bev.'!V23</f>
        <v>61160</v>
      </c>
      <c r="V23" s="285">
        <f>+'3.sz.m Önk  bev.'!W23</f>
        <v>61160</v>
      </c>
      <c r="W23" s="1326">
        <f>+V23/U23</f>
        <v>1</v>
      </c>
      <c r="X23" s="287">
        <v>0</v>
      </c>
      <c r="Y23" s="287">
        <v>0</v>
      </c>
      <c r="Z23" s="287">
        <v>0</v>
      </c>
      <c r="AA23" s="287">
        <v>0</v>
      </c>
      <c r="AB23" s="287">
        <v>0</v>
      </c>
      <c r="AC23" s="1326"/>
      <c r="AD23" s="287">
        <v>0</v>
      </c>
      <c r="AE23" s="813"/>
    </row>
    <row r="24" spans="1:31" ht="21.75" customHeight="1">
      <c r="A24" s="54"/>
      <c r="B24" s="50" t="s">
        <v>466</v>
      </c>
      <c r="C24" s="1360" t="s">
        <v>462</v>
      </c>
      <c r="D24" s="1363"/>
      <c r="E24" s="224">
        <f>'5.2 sz. m ÁMK'!D13</f>
        <v>5564271</v>
      </c>
      <c r="F24" s="224">
        <f>'5.2 sz. m ÁMK'!E13</f>
        <v>5564271</v>
      </c>
      <c r="G24" s="224">
        <f>'5.2 sz. m ÁMK'!F13</f>
        <v>5564271</v>
      </c>
      <c r="H24" s="224">
        <f>'5.2 sz. m ÁMK'!G13</f>
        <v>5830465</v>
      </c>
      <c r="I24" s="224">
        <f>'5.2 sz. m ÁMK'!H13</f>
        <v>5814941</v>
      </c>
      <c r="J24" s="1326">
        <f t="shared" si="3"/>
        <v>0.9973374336352246</v>
      </c>
      <c r="K24" s="287"/>
      <c r="L24" s="224">
        <f>'5.2 sz. m ÁMK'!M13</f>
        <v>5564271</v>
      </c>
      <c r="M24" s="224">
        <f>'5.2 sz. m ÁMK'!N13</f>
        <v>5564271</v>
      </c>
      <c r="N24" s="224">
        <f>'5.2 sz. m ÁMK'!O13</f>
        <v>5830465</v>
      </c>
      <c r="O24" s="224">
        <f>'5.2 sz. m ÁMK'!P13</f>
        <v>5814941</v>
      </c>
      <c r="P24" s="1326">
        <f t="shared" si="4"/>
        <v>0.9973374336352246</v>
      </c>
      <c r="Q24" s="224">
        <f>'5.2 sz. m ÁMK'!R13</f>
        <v>0</v>
      </c>
      <c r="R24" s="287"/>
      <c r="S24" s="287"/>
      <c r="T24" s="287"/>
      <c r="U24" s="287"/>
      <c r="V24" s="287"/>
      <c r="W24" s="1326"/>
      <c r="X24" s="287"/>
      <c r="Y24" s="287"/>
      <c r="Z24" s="287"/>
      <c r="AA24" s="287"/>
      <c r="AB24" s="287"/>
      <c r="AC24" s="1326"/>
      <c r="AD24" s="287"/>
      <c r="AE24" s="813"/>
    </row>
    <row r="25" spans="1:31" ht="21.75" customHeight="1">
      <c r="A25" s="54"/>
      <c r="B25" s="50" t="s">
        <v>271</v>
      </c>
      <c r="C25" s="1360" t="s">
        <v>303</v>
      </c>
      <c r="D25" s="1360"/>
      <c r="E25" s="226">
        <f>SUM(E26:E28)</f>
        <v>3229466</v>
      </c>
      <c r="F25" s="226">
        <f>SUM(F26:F28)</f>
        <v>1579466</v>
      </c>
      <c r="G25" s="226">
        <f>SUM(G26:G28)</f>
        <v>1579466</v>
      </c>
      <c r="H25" s="226">
        <f>SUM(H26:H28)</f>
        <v>722399</v>
      </c>
      <c r="I25" s="226">
        <f>SUM(I26:I28)</f>
        <v>722399</v>
      </c>
      <c r="J25" s="921">
        <f t="shared" si="3"/>
        <v>1</v>
      </c>
      <c r="K25" s="287">
        <f aca="true" t="shared" si="10" ref="K25:Q25">SUM(K26:K28)</f>
        <v>1579466</v>
      </c>
      <c r="L25" s="226">
        <f t="shared" si="10"/>
        <v>1579466</v>
      </c>
      <c r="M25" s="226">
        <f>SUM(M26:M28)</f>
        <v>1579466</v>
      </c>
      <c r="N25" s="226">
        <f t="shared" si="10"/>
        <v>722399</v>
      </c>
      <c r="O25" s="226">
        <f>SUM(O26:O28)</f>
        <v>722399</v>
      </c>
      <c r="P25" s="921">
        <f t="shared" si="4"/>
        <v>1</v>
      </c>
      <c r="Q25" s="226">
        <f t="shared" si="10"/>
        <v>2.000005573427277</v>
      </c>
      <c r="R25" s="287">
        <v>0</v>
      </c>
      <c r="S25" s="287">
        <v>0</v>
      </c>
      <c r="T25" s="287">
        <v>0</v>
      </c>
      <c r="U25" s="287">
        <v>0</v>
      </c>
      <c r="V25" s="287">
        <v>0</v>
      </c>
      <c r="W25" s="921"/>
      <c r="X25" s="287">
        <v>0</v>
      </c>
      <c r="Y25" s="287">
        <v>0</v>
      </c>
      <c r="Z25" s="287">
        <v>0</v>
      </c>
      <c r="AA25" s="287">
        <v>0</v>
      </c>
      <c r="AB25" s="287">
        <v>0</v>
      </c>
      <c r="AC25" s="921"/>
      <c r="AD25" s="287">
        <v>0</v>
      </c>
      <c r="AE25" s="813"/>
    </row>
    <row r="26" spans="1:31" ht="31.5" customHeight="1">
      <c r="A26" s="54"/>
      <c r="B26" s="50"/>
      <c r="C26" s="50" t="s">
        <v>467</v>
      </c>
      <c r="D26" s="188" t="s">
        <v>304</v>
      </c>
      <c r="E26" s="226">
        <f>'3.sz.m Önk  bev.'!E25+'5.2 sz. m ÁMK'!D12</f>
        <v>2733712</v>
      </c>
      <c r="F26" s="226">
        <f>'3.sz.m Önk  bev.'!F25+'5.2 sz. m ÁMK'!E12</f>
        <v>1083712</v>
      </c>
      <c r="G26" s="226">
        <f>'3.sz.m Önk  bev.'!G25+'5.2 sz. m ÁMK'!F12</f>
        <v>1083712</v>
      </c>
      <c r="H26" s="226">
        <f>'3.sz.m Önk  bev.'!H25+'5.2 sz. m ÁMK'!G12</f>
        <v>332041</v>
      </c>
      <c r="I26" s="226">
        <f>'3.sz.m Önk  bev.'!I25+'5.2 sz. m ÁMK'!H12</f>
        <v>527220</v>
      </c>
      <c r="J26" s="921">
        <f t="shared" si="3"/>
        <v>1.5878159624865604</v>
      </c>
      <c r="K26" s="287">
        <f>'3.sz.m Önk  bev.'!L25</f>
        <v>1083712</v>
      </c>
      <c r="L26" s="226">
        <f>'3.sz.m Önk  bev.'!L25+'5.2 sz. m ÁMK'!K12</f>
        <v>1083712</v>
      </c>
      <c r="M26" s="226">
        <f>'3.sz.m Önk  bev.'!M25+'5.2 sz. m ÁMK'!F12</f>
        <v>1083712</v>
      </c>
      <c r="N26" s="226">
        <f>'3.sz.m Önk  bev.'!O25+'5.2 sz. m ÁMK'!O12</f>
        <v>332041</v>
      </c>
      <c r="O26" s="226">
        <f>'3.sz.m Önk  bev.'!P25+'5.2 sz. m ÁMK'!P12</f>
        <v>527220</v>
      </c>
      <c r="P26" s="921">
        <f t="shared" si="4"/>
        <v>1.5878159624865604</v>
      </c>
      <c r="Q26" s="226">
        <f>'3.sz.m Önk  bev.'!R25+'5.2 sz. m ÁMK'!R12</f>
        <v>3.011676268894504E-06</v>
      </c>
      <c r="R26" s="287">
        <v>0</v>
      </c>
      <c r="S26" s="287">
        <v>0</v>
      </c>
      <c r="T26" s="287">
        <v>0</v>
      </c>
      <c r="U26" s="287">
        <v>0</v>
      </c>
      <c r="V26" s="287">
        <v>0</v>
      </c>
      <c r="W26" s="921"/>
      <c r="X26" s="287">
        <v>0</v>
      </c>
      <c r="Y26" s="287">
        <v>0</v>
      </c>
      <c r="Z26" s="287">
        <v>0</v>
      </c>
      <c r="AA26" s="287">
        <v>0</v>
      </c>
      <c r="AB26" s="287">
        <v>0</v>
      </c>
      <c r="AC26" s="921"/>
      <c r="AD26" s="287">
        <v>0</v>
      </c>
      <c r="AE26" s="813"/>
    </row>
    <row r="27" spans="1:31" ht="41.25" customHeight="1">
      <c r="A27" s="54"/>
      <c r="B27" s="50"/>
      <c r="C27" s="50" t="s">
        <v>468</v>
      </c>
      <c r="D27" s="188" t="s">
        <v>305</v>
      </c>
      <c r="E27" s="226">
        <f>'3.sz.m Önk  bev.'!E26</f>
        <v>495754</v>
      </c>
      <c r="F27" s="226">
        <f>'3.sz.m Önk  bev.'!F26</f>
        <v>495754</v>
      </c>
      <c r="G27" s="226">
        <f>'3.sz.m Önk  bev.'!G26</f>
        <v>495754</v>
      </c>
      <c r="H27" s="226">
        <f>'3.sz.m Önk  bev.'!H26</f>
        <v>390358</v>
      </c>
      <c r="I27" s="226">
        <f>'3.sz.m Önk  bev.'!I26</f>
        <v>195179</v>
      </c>
      <c r="J27" s="921">
        <f t="shared" si="3"/>
        <v>0.5</v>
      </c>
      <c r="K27" s="287">
        <f>'3.sz.m Önk  bev.'!L26</f>
        <v>495754</v>
      </c>
      <c r="L27" s="226">
        <f>'3.sz.m Önk  bev.'!L26</f>
        <v>495754</v>
      </c>
      <c r="M27" s="226">
        <f>'3.sz.m Önk  bev.'!M26</f>
        <v>495754</v>
      </c>
      <c r="N27" s="226">
        <f>'3.sz.m Önk  bev.'!O26</f>
        <v>390358</v>
      </c>
      <c r="O27" s="226">
        <f>'3.sz.m Önk  bev.'!P26</f>
        <v>195179</v>
      </c>
      <c r="P27" s="921">
        <f t="shared" si="4"/>
        <v>0.5</v>
      </c>
      <c r="Q27" s="226">
        <f>'3.sz.m Önk  bev.'!R26</f>
        <v>2.5617510080490215E-06</v>
      </c>
      <c r="R27" s="287">
        <v>0</v>
      </c>
      <c r="S27" s="287">
        <v>0</v>
      </c>
      <c r="T27" s="287">
        <v>0</v>
      </c>
      <c r="U27" s="287">
        <v>0</v>
      </c>
      <c r="V27" s="287">
        <v>0</v>
      </c>
      <c r="W27" s="921"/>
      <c r="X27" s="287">
        <v>0</v>
      </c>
      <c r="Y27" s="287">
        <v>0</v>
      </c>
      <c r="Z27" s="287">
        <v>0</v>
      </c>
      <c r="AA27" s="287">
        <v>0</v>
      </c>
      <c r="AB27" s="287">
        <v>0</v>
      </c>
      <c r="AC27" s="921"/>
      <c r="AD27" s="287">
        <v>0</v>
      </c>
      <c r="AE27" s="813"/>
    </row>
    <row r="28" spans="1:31" ht="21.75" customHeight="1">
      <c r="A28" s="54"/>
      <c r="B28" s="50"/>
      <c r="C28" s="50" t="s">
        <v>469</v>
      </c>
      <c r="D28" s="188" t="s">
        <v>479</v>
      </c>
      <c r="E28" s="226">
        <f>'3.sz.m Önk  bev.'!E27</f>
        <v>0</v>
      </c>
      <c r="F28" s="226">
        <f>'3.sz.m Önk  bev.'!F27</f>
        <v>0</v>
      </c>
      <c r="G28" s="226">
        <f>'3.sz.m Önk  bev.'!G27</f>
        <v>0</v>
      </c>
      <c r="H28" s="226">
        <f>'3.sz.m Önk  bev.'!H27</f>
        <v>0</v>
      </c>
      <c r="I28" s="226">
        <f>'3.sz.m Önk  bev.'!I27</f>
        <v>0</v>
      </c>
      <c r="J28" s="921"/>
      <c r="K28" s="287">
        <f>'3.sz.m Önk  bev.'!L27</f>
        <v>0</v>
      </c>
      <c r="L28" s="226">
        <f>'3.sz.m Önk  bev.'!L27</f>
        <v>0</v>
      </c>
      <c r="M28" s="226">
        <f>'3.sz.m Önk  bev.'!M27</f>
        <v>0</v>
      </c>
      <c r="N28" s="226">
        <f>'3.sz.m Önk  bev.'!O27</f>
        <v>0</v>
      </c>
      <c r="O28" s="226">
        <f>'3.sz.m Önk  bev.'!P27</f>
        <v>0</v>
      </c>
      <c r="P28" s="921"/>
      <c r="Q28" s="226">
        <f>'3.sz.m Önk  bev.'!R27</f>
        <v>2</v>
      </c>
      <c r="R28" s="287">
        <v>0</v>
      </c>
      <c r="S28" s="287">
        <v>0</v>
      </c>
      <c r="T28" s="287">
        <v>0</v>
      </c>
      <c r="U28" s="287">
        <v>0</v>
      </c>
      <c r="V28" s="287">
        <v>0</v>
      </c>
      <c r="W28" s="921"/>
      <c r="X28" s="287">
        <v>0</v>
      </c>
      <c r="Y28" s="287">
        <v>0</v>
      </c>
      <c r="Z28" s="287">
        <v>0</v>
      </c>
      <c r="AA28" s="287">
        <v>0</v>
      </c>
      <c r="AB28" s="287">
        <v>0</v>
      </c>
      <c r="AC28" s="921"/>
      <c r="AD28" s="287">
        <v>0</v>
      </c>
      <c r="AE28" s="813"/>
    </row>
    <row r="29" spans="1:31" ht="21.75" customHeight="1">
      <c r="A29" s="54"/>
      <c r="B29" s="50" t="s">
        <v>307</v>
      </c>
      <c r="C29" s="1360" t="s">
        <v>306</v>
      </c>
      <c r="D29" s="1360"/>
      <c r="E29" s="226">
        <f>'3.sz.m Önk  bev.'!E28+'5.2 sz. m ÁMK'!D14</f>
        <v>7629434</v>
      </c>
      <c r="F29" s="226">
        <f>'3.sz.m Önk  bev.'!F28+'5.2 sz. m ÁMK'!E14</f>
        <v>7629434</v>
      </c>
      <c r="G29" s="226">
        <f>'3.sz.m Önk  bev.'!G28+'5.2 sz. m ÁMK'!F14</f>
        <v>7629434</v>
      </c>
      <c r="H29" s="226">
        <f>'3.sz.m Önk  bev.'!H28+'5.2 sz. m ÁMK'!G14</f>
        <v>7790109</v>
      </c>
      <c r="I29" s="226">
        <f>'3.sz.m Önk  bev.'!I28+'5.2 sz. m ÁMK'!H14</f>
        <v>7785918</v>
      </c>
      <c r="J29" s="921">
        <f t="shared" si="3"/>
        <v>0.999462010095109</v>
      </c>
      <c r="K29" s="287">
        <f>'3.sz.m Önk  bev.'!L28</f>
        <v>1642410</v>
      </c>
      <c r="L29" s="226">
        <f>'3.sz.m Önk  bev.'!L28+'5.2 sz. m ÁMK'!M14</f>
        <v>7629434</v>
      </c>
      <c r="M29" s="226">
        <f>'3.sz.m Önk  bev.'!M28+'5.2 sz. m ÁMK'!N14</f>
        <v>7629434</v>
      </c>
      <c r="N29" s="226">
        <f>'3.sz.m Önk  bev.'!O28+'5.2 sz. m ÁMK'!O14</f>
        <v>7707376</v>
      </c>
      <c r="O29" s="226">
        <f>'3.sz.m Önk  bev.'!P28+'5.2 sz. m ÁMK'!P14</f>
        <v>7703185</v>
      </c>
      <c r="P29" s="921">
        <f t="shared" si="4"/>
        <v>0.9994562351700501</v>
      </c>
      <c r="Q29" s="226">
        <f>'3.sz.m Önk  bev.'!R28+'5.2 sz. m ÁMK'!R14</f>
        <v>1.2490163995853266E-06</v>
      </c>
      <c r="R29" s="287">
        <v>0</v>
      </c>
      <c r="S29" s="287">
        <v>0</v>
      </c>
      <c r="T29" s="287">
        <v>0</v>
      </c>
      <c r="U29" s="287">
        <f>+'3.sz.m Önk  bev.'!V28</f>
        <v>82733</v>
      </c>
      <c r="V29" s="287">
        <f>+'3.sz.m Önk  bev.'!W28</f>
        <v>82733</v>
      </c>
      <c r="W29" s="921">
        <f>+V29/U29</f>
        <v>1</v>
      </c>
      <c r="X29" s="287">
        <v>0</v>
      </c>
      <c r="Y29" s="287">
        <v>0</v>
      </c>
      <c r="Z29" s="287">
        <v>0</v>
      </c>
      <c r="AA29" s="287">
        <v>0</v>
      </c>
      <c r="AB29" s="287">
        <v>0</v>
      </c>
      <c r="AC29" s="921"/>
      <c r="AD29" s="287">
        <v>0</v>
      </c>
      <c r="AE29" s="813"/>
    </row>
    <row r="30" spans="1:31" ht="21.75" customHeight="1" hidden="1">
      <c r="A30" s="58"/>
      <c r="B30" s="59" t="s">
        <v>309</v>
      </c>
      <c r="C30" s="1360" t="s">
        <v>308</v>
      </c>
      <c r="D30" s="1363"/>
      <c r="E30" s="226">
        <f>'3.sz.m Önk  bev.'!E29</f>
        <v>0</v>
      </c>
      <c r="F30" s="226">
        <f>'3.sz.m Önk  bev.'!F29</f>
        <v>0</v>
      </c>
      <c r="G30" s="226">
        <f>'3.sz.m Önk  bev.'!G29</f>
        <v>0</v>
      </c>
      <c r="H30" s="226"/>
      <c r="I30" s="226"/>
      <c r="J30" s="921" t="e">
        <f t="shared" si="3"/>
        <v>#DIV/0!</v>
      </c>
      <c r="K30" s="287"/>
      <c r="L30" s="226"/>
      <c r="M30" s="226"/>
      <c r="N30" s="226"/>
      <c r="O30" s="226"/>
      <c r="P30" s="921" t="e">
        <f t="shared" si="4"/>
        <v>#DIV/0!</v>
      </c>
      <c r="Q30" s="226">
        <f>'3.sz.m Önk  bev.'!Q29</f>
        <v>1</v>
      </c>
      <c r="R30" s="287">
        <v>0</v>
      </c>
      <c r="S30" s="287">
        <v>0</v>
      </c>
      <c r="T30" s="287">
        <v>0</v>
      </c>
      <c r="U30" s="287"/>
      <c r="V30" s="287"/>
      <c r="W30" s="921"/>
      <c r="X30" s="287">
        <v>0</v>
      </c>
      <c r="Y30" s="287">
        <v>0</v>
      </c>
      <c r="Z30" s="287">
        <v>0</v>
      </c>
      <c r="AA30" s="287">
        <v>0</v>
      </c>
      <c r="AB30" s="287">
        <v>0</v>
      </c>
      <c r="AC30" s="921"/>
      <c r="AD30" s="287">
        <v>0</v>
      </c>
      <c r="AE30" s="813"/>
    </row>
    <row r="31" spans="1:31" ht="21.75" customHeight="1">
      <c r="A31" s="58"/>
      <c r="B31" s="59" t="s">
        <v>309</v>
      </c>
      <c r="C31" s="1360" t="s">
        <v>310</v>
      </c>
      <c r="D31" s="1363"/>
      <c r="E31" s="226">
        <f>'3.sz.m Önk  bev.'!E30+'5.1 sz. m Köz Hiv'!D12+'5.2 sz. m ÁMK'!D15</f>
        <v>621861</v>
      </c>
      <c r="F31" s="226">
        <f>'3.sz.m Önk  bev.'!F30+'5.1 sz. m Köz Hiv'!E12+'5.2 sz. m ÁMK'!E15</f>
        <v>621911</v>
      </c>
      <c r="G31" s="226">
        <f>'3.sz.m Önk  bev.'!G30+'5.1 sz. m Köz Hiv'!F12+'5.2 sz. m ÁMK'!F15</f>
        <v>621911</v>
      </c>
      <c r="H31" s="226">
        <f>'3.sz.m Önk  bev.'!H30+'5.1 sz. m Köz Hiv'!G12+'5.2 sz. m ÁMK'!G15</f>
        <v>642632</v>
      </c>
      <c r="I31" s="226">
        <f>'3.sz.m Önk  bev.'!I30+'5.1 sz. m Köz Hiv'!H12+'5.2 sz. m ÁMK'!H15</f>
        <v>636018</v>
      </c>
      <c r="J31" s="921">
        <f t="shared" si="3"/>
        <v>0.9897079510513015</v>
      </c>
      <c r="K31" s="287">
        <f>'3.sz.m Önk  bev.'!L30</f>
        <v>621861</v>
      </c>
      <c r="L31" s="226">
        <f>'3.sz.m Önk  bev.'!L30+'5.1 sz. m Köz Hiv'!M12+'5.2 sz. m ÁMK'!M15</f>
        <v>621911</v>
      </c>
      <c r="M31" s="226">
        <f>'3.sz.m Önk  bev.'!M30+'5.1 sz. m Köz Hiv'!N12+'5.2 sz. m ÁMK'!N15</f>
        <v>621911</v>
      </c>
      <c r="N31" s="226">
        <f>'3.sz.m Önk  bev.'!O30+'5.1 sz. m Köz Hiv'!O12+'5.2 sz. m ÁMK'!O15</f>
        <v>625212</v>
      </c>
      <c r="O31" s="226">
        <f>'3.sz.m Önk  bev.'!P30+'5.1 sz. m Köz Hiv'!P12+'5.2 sz. m ÁMK'!P15</f>
        <v>618598</v>
      </c>
      <c r="P31" s="921">
        <f t="shared" si="4"/>
        <v>0.9894211883329175</v>
      </c>
      <c r="Q31" s="226">
        <f>'3.sz.m Önk  bev.'!R30+'5.1 sz. m Köz Hiv'!R12+'5.2 sz. m ÁMK'!R15</f>
        <v>1.5562216184082342E-06</v>
      </c>
      <c r="R31" s="287">
        <v>0</v>
      </c>
      <c r="S31" s="287">
        <v>0</v>
      </c>
      <c r="T31" s="287">
        <v>0</v>
      </c>
      <c r="U31" s="287">
        <f>+'3.sz.m Önk  bev.'!V30</f>
        <v>17420</v>
      </c>
      <c r="V31" s="287">
        <f>+'3.sz.m Önk  bev.'!W30</f>
        <v>17420</v>
      </c>
      <c r="W31" s="921">
        <f>+V31/U31</f>
        <v>1</v>
      </c>
      <c r="X31" s="287">
        <v>0</v>
      </c>
      <c r="Y31" s="287">
        <v>0</v>
      </c>
      <c r="Z31" s="287">
        <v>0</v>
      </c>
      <c r="AA31" s="287">
        <v>0</v>
      </c>
      <c r="AB31" s="287">
        <v>0</v>
      </c>
      <c r="AC31" s="921"/>
      <c r="AD31" s="287">
        <v>0</v>
      </c>
      <c r="AE31" s="813"/>
    </row>
    <row r="32" spans="1:31" ht="21.75" customHeight="1">
      <c r="A32" s="58"/>
      <c r="B32" s="59" t="s">
        <v>470</v>
      </c>
      <c r="C32" s="1373" t="s">
        <v>70</v>
      </c>
      <c r="D32" s="1373"/>
      <c r="E32" s="226">
        <f>'3.sz.m Önk  bev.'!E31+'5.1 sz. m Köz Hiv'!D13+'5.2 sz. m ÁMK'!D16</f>
        <v>21890509</v>
      </c>
      <c r="F32" s="226">
        <f>'3.sz.m Önk  bev.'!F31+'5.1 sz. m Köz Hiv'!E13+'5.2 sz. m ÁMK'!E16</f>
        <v>22059874</v>
      </c>
      <c r="G32" s="226">
        <f>'3.sz.m Önk  bev.'!G31+'5.1 sz. m Köz Hiv'!F13+'5.2 sz. m ÁMK'!F16</f>
        <v>9631031</v>
      </c>
      <c r="H32" s="226">
        <f>'3.sz.m Önk  bev.'!H31+'5.1 sz. m Köz Hiv'!G13+'5.2 sz. m ÁMK'!G16</f>
        <v>1648219</v>
      </c>
      <c r="I32" s="226">
        <f>'3.sz.m Önk  bev.'!I31+'5.1 sz. m Köz Hiv'!H13+'5.2 sz. m ÁMK'!H16</f>
        <v>1648226</v>
      </c>
      <c r="J32" s="921">
        <f t="shared" si="3"/>
        <v>1.0000042470084376</v>
      </c>
      <c r="K32" s="287">
        <f>'3.sz.m Önk  bev.'!L31</f>
        <v>21890509</v>
      </c>
      <c r="L32" s="226">
        <f>+'3.sz.m Önk  bev.'!M31+'5.1 sz. m Köz Hiv'!M13+'5.2 sz. m ÁMK'!M16</f>
        <v>22059874</v>
      </c>
      <c r="M32" s="226">
        <f>+'3.sz.m Önk  bev.'!N31+'5.1 sz. m Köz Hiv'!N13+'5.2 sz. m ÁMK'!N16</f>
        <v>9631031</v>
      </c>
      <c r="N32" s="226">
        <f>+'3.sz.m Önk  bev.'!O31+'5.1 sz. m Köz Hiv'!O13+'5.2 sz. m ÁMK'!O16</f>
        <v>1648219</v>
      </c>
      <c r="O32" s="226">
        <f>+'3.sz.m Önk  bev.'!P31+'5.1 sz. m Köz Hiv'!P13+'5.2 sz. m ÁMK'!P16</f>
        <v>1648226</v>
      </c>
      <c r="P32" s="921">
        <f t="shared" si="4"/>
        <v>1.0000042470084376</v>
      </c>
      <c r="Q32" s="287">
        <f>'3.sz.m Önk  bev.'!R31</f>
        <v>8.946856566679579E-07</v>
      </c>
      <c r="R32" s="287">
        <v>0</v>
      </c>
      <c r="S32" s="287">
        <v>0</v>
      </c>
      <c r="T32" s="287">
        <v>0</v>
      </c>
      <c r="U32" s="287"/>
      <c r="V32" s="287"/>
      <c r="W32" s="921"/>
      <c r="X32" s="287">
        <v>0</v>
      </c>
      <c r="Y32" s="287">
        <v>0</v>
      </c>
      <c r="Z32" s="287">
        <v>0</v>
      </c>
      <c r="AA32" s="287">
        <v>0</v>
      </c>
      <c r="AB32" s="287">
        <v>0</v>
      </c>
      <c r="AC32" s="921"/>
      <c r="AD32" s="287">
        <v>0</v>
      </c>
      <c r="AE32" s="813"/>
    </row>
    <row r="33" spans="1:31" ht="21.75" customHeight="1" thickBot="1">
      <c r="A33" s="58"/>
      <c r="B33" s="59" t="s">
        <v>516</v>
      </c>
      <c r="C33" s="1360" t="s">
        <v>515</v>
      </c>
      <c r="D33" s="1363"/>
      <c r="E33" s="226"/>
      <c r="F33" s="226"/>
      <c r="G33" s="226"/>
      <c r="H33" s="226">
        <f>'3.sz.m Önk  bev.'!H29</f>
        <v>254960</v>
      </c>
      <c r="I33" s="226">
        <f>'3.sz.m Önk  bev.'!I29</f>
        <v>254960</v>
      </c>
      <c r="J33" s="921">
        <f t="shared" si="3"/>
        <v>1</v>
      </c>
      <c r="K33" s="287"/>
      <c r="L33" s="287"/>
      <c r="M33" s="287"/>
      <c r="N33" s="226">
        <f>+'3.sz.m Önk  bev.'!O29</f>
        <v>254960</v>
      </c>
      <c r="O33" s="226">
        <f>+'3.sz.m Önk  bev.'!P29</f>
        <v>254960</v>
      </c>
      <c r="P33" s="921">
        <f t="shared" si="4"/>
        <v>1</v>
      </c>
      <c r="Q33" s="226"/>
      <c r="R33" s="287"/>
      <c r="S33" s="287"/>
      <c r="T33" s="287"/>
      <c r="U33" s="287"/>
      <c r="V33" s="287"/>
      <c r="W33" s="921"/>
      <c r="X33" s="287"/>
      <c r="Y33" s="287"/>
      <c r="Z33" s="287"/>
      <c r="AA33" s="287"/>
      <c r="AB33" s="287"/>
      <c r="AC33" s="921"/>
      <c r="AD33" s="287"/>
      <c r="AE33" s="813"/>
    </row>
    <row r="34" spans="1:31" ht="42.75" customHeight="1" thickBot="1">
      <c r="A34" s="61" t="s">
        <v>10</v>
      </c>
      <c r="B34" s="1368" t="s">
        <v>311</v>
      </c>
      <c r="C34" s="1368"/>
      <c r="D34" s="1368"/>
      <c r="E34" s="279">
        <f aca="true" t="shared" si="11" ref="E34:N34">SUM(E35:E39)</f>
        <v>365623014</v>
      </c>
      <c r="F34" s="64">
        <f t="shared" si="11"/>
        <v>371513041</v>
      </c>
      <c r="G34" s="64">
        <f t="shared" si="11"/>
        <v>389151960</v>
      </c>
      <c r="H34" s="64">
        <f>SUM(H35:H39)</f>
        <v>399506797</v>
      </c>
      <c r="I34" s="64">
        <f t="shared" si="11"/>
        <v>350441356</v>
      </c>
      <c r="J34" s="922">
        <f t="shared" si="3"/>
        <v>0.8771849656415233</v>
      </c>
      <c r="K34" s="279">
        <f t="shared" si="11"/>
        <v>279163693</v>
      </c>
      <c r="L34" s="279">
        <f t="shared" si="11"/>
        <v>285053720</v>
      </c>
      <c r="M34" s="279">
        <f>SUM(M35:M39)</f>
        <v>302692639</v>
      </c>
      <c r="N34" s="64">
        <f t="shared" si="11"/>
        <v>312940796</v>
      </c>
      <c r="O34" s="64">
        <f>SUM(O35:O39)</f>
        <v>312940796</v>
      </c>
      <c r="P34" s="922">
        <f t="shared" si="4"/>
        <v>1</v>
      </c>
      <c r="Q34" s="605">
        <f t="shared" si="5"/>
        <v>3.195492606850786E-09</v>
      </c>
      <c r="R34" s="279">
        <f>SUM(R35:R39)</f>
        <v>86459321</v>
      </c>
      <c r="S34" s="279">
        <f>SUM(S35:S39)</f>
        <v>86459321</v>
      </c>
      <c r="T34" s="279">
        <f>SUM(T35:T39)</f>
        <v>86459321</v>
      </c>
      <c r="U34" s="279">
        <f>SUM(U35:U39)</f>
        <v>86566001</v>
      </c>
      <c r="V34" s="279">
        <f>SUM(V35:V39)</f>
        <v>37500560</v>
      </c>
      <c r="W34" s="922">
        <f>+V34/U34</f>
        <v>0.4332019449529614</v>
      </c>
      <c r="X34" s="279">
        <v>0</v>
      </c>
      <c r="Y34" s="279">
        <v>0</v>
      </c>
      <c r="Z34" s="279">
        <v>0</v>
      </c>
      <c r="AA34" s="279">
        <v>0</v>
      </c>
      <c r="AB34" s="279">
        <v>0</v>
      </c>
      <c r="AC34" s="922"/>
      <c r="AD34" s="279">
        <v>0</v>
      </c>
      <c r="AE34" s="813"/>
    </row>
    <row r="35" spans="1:31" ht="21.75" customHeight="1">
      <c r="A35" s="55"/>
      <c r="B35" s="59" t="s">
        <v>42</v>
      </c>
      <c r="C35" s="1361" t="s">
        <v>312</v>
      </c>
      <c r="D35" s="1362"/>
      <c r="E35" s="287">
        <f>'3.sz.m Önk  bev.'!E33</f>
        <v>259880655</v>
      </c>
      <c r="F35" s="226">
        <f>'3.sz.m Önk  bev.'!F33</f>
        <v>261103527</v>
      </c>
      <c r="G35" s="226">
        <f>'3.sz.m Önk  bev.'!G33</f>
        <v>276501037</v>
      </c>
      <c r="H35" s="226">
        <f>'3.sz.m Önk  bev.'!H33</f>
        <v>278699276</v>
      </c>
      <c r="I35" s="226">
        <f>'3.sz.m Önk  bev.'!I33</f>
        <v>278699276</v>
      </c>
      <c r="J35" s="921">
        <f t="shared" si="3"/>
        <v>1</v>
      </c>
      <c r="K35" s="287">
        <f>'3.sz.m Önk  bev.'!L33</f>
        <v>259880655</v>
      </c>
      <c r="L35" s="287">
        <f>'3.sz.m Önk  bev.'!M33</f>
        <v>261103527</v>
      </c>
      <c r="M35" s="287">
        <f>'3.sz.m Önk  bev.'!N33</f>
        <v>276501037</v>
      </c>
      <c r="N35" s="226">
        <f>'3.sz.m Önk  bev.'!O33</f>
        <v>278699276</v>
      </c>
      <c r="O35" s="226">
        <f>'3.sz.m Önk  bev.'!P33</f>
        <v>278699276</v>
      </c>
      <c r="P35" s="921">
        <f t="shared" si="4"/>
        <v>1</v>
      </c>
      <c r="Q35" s="606">
        <f t="shared" si="5"/>
        <v>3.588096870405935E-09</v>
      </c>
      <c r="R35" s="286">
        <f>'3.sz.m Önk  bev.'!S35</f>
        <v>0</v>
      </c>
      <c r="S35" s="286">
        <f>'3.sz.m Önk  bev.'!T35</f>
        <v>0</v>
      </c>
      <c r="T35" s="286">
        <f>'3.sz.m Önk  bev.'!U35</f>
        <v>0</v>
      </c>
      <c r="U35" s="286">
        <f>'3.sz.m Önk  bev.'!V35</f>
        <v>0</v>
      </c>
      <c r="V35" s="286">
        <f>'3.sz.m Önk  bev.'!W35</f>
        <v>0</v>
      </c>
      <c r="W35" s="921"/>
      <c r="X35" s="287">
        <v>0</v>
      </c>
      <c r="Y35" s="287">
        <v>0</v>
      </c>
      <c r="Z35" s="287">
        <v>0</v>
      </c>
      <c r="AA35" s="287">
        <v>0</v>
      </c>
      <c r="AB35" s="287">
        <v>0</v>
      </c>
      <c r="AC35" s="921"/>
      <c r="AD35" s="287">
        <v>0</v>
      </c>
      <c r="AE35" s="813"/>
    </row>
    <row r="36" spans="1:31" ht="21.75" customHeight="1">
      <c r="A36" s="54"/>
      <c r="B36" s="59" t="s">
        <v>43</v>
      </c>
      <c r="C36" s="1360" t="s">
        <v>475</v>
      </c>
      <c r="D36" s="1363"/>
      <c r="E36" s="287">
        <f>'3.sz.m Önk  bev.'!E34</f>
        <v>805600</v>
      </c>
      <c r="F36" s="226">
        <f>'3.sz.m Önk  bev.'!F34</f>
        <v>2744006</v>
      </c>
      <c r="G36" s="226">
        <f>'3.sz.m Önk  bev.'!G34</f>
        <v>3185556</v>
      </c>
      <c r="H36" s="226">
        <f>'3.sz.m Önk  bev.'!H34</f>
        <v>7993771</v>
      </c>
      <c r="I36" s="226">
        <f>'3.sz.m Önk  bev.'!I34</f>
        <v>7993771</v>
      </c>
      <c r="J36" s="921">
        <f t="shared" si="3"/>
        <v>1</v>
      </c>
      <c r="K36" s="287">
        <f>'3.sz.m Önk  bev.'!L34</f>
        <v>805600</v>
      </c>
      <c r="L36" s="287">
        <f>'3.sz.m Önk  bev.'!M34</f>
        <v>2744006</v>
      </c>
      <c r="M36" s="287">
        <f>'3.sz.m Önk  bev.'!N34</f>
        <v>3185556</v>
      </c>
      <c r="N36" s="226">
        <f>'3.sz.m Önk  bev.'!O34</f>
        <v>7993771</v>
      </c>
      <c r="O36" s="226">
        <f>'3.sz.m Önk  bev.'!P34</f>
        <v>7993771</v>
      </c>
      <c r="P36" s="921">
        <f t="shared" si="4"/>
        <v>1</v>
      </c>
      <c r="Q36" s="607">
        <f t="shared" si="5"/>
        <v>1.2509740396616316E-07</v>
      </c>
      <c r="R36" s="287">
        <v>0</v>
      </c>
      <c r="S36" s="287">
        <v>0</v>
      </c>
      <c r="T36" s="287">
        <v>0</v>
      </c>
      <c r="U36" s="287">
        <v>0</v>
      </c>
      <c r="V36" s="287">
        <v>0</v>
      </c>
      <c r="W36" s="921"/>
      <c r="X36" s="287">
        <v>0</v>
      </c>
      <c r="Y36" s="287">
        <v>0</v>
      </c>
      <c r="Z36" s="287">
        <v>0</v>
      </c>
      <c r="AA36" s="287">
        <v>0</v>
      </c>
      <c r="AB36" s="287">
        <v>0</v>
      </c>
      <c r="AC36" s="921"/>
      <c r="AD36" s="287">
        <v>0</v>
      </c>
      <c r="AE36" s="813"/>
    </row>
    <row r="37" spans="1:31" ht="21.75" customHeight="1">
      <c r="A37" s="54"/>
      <c r="B37" s="59" t="s">
        <v>67</v>
      </c>
      <c r="C37" s="1360" t="s">
        <v>631</v>
      </c>
      <c r="D37" s="1360"/>
      <c r="E37" s="287">
        <f>'3.sz.m Önk  bev.'!E35</f>
        <v>0</v>
      </c>
      <c r="F37" s="226">
        <f>'3.sz.m Önk  bev.'!F35</f>
        <v>16320</v>
      </c>
      <c r="G37" s="226">
        <f>'3.sz.m Önk  bev.'!G35</f>
        <v>1500138</v>
      </c>
      <c r="H37" s="226">
        <f>'3.sz.m Önk  bev.'!H35</f>
        <v>1500138</v>
      </c>
      <c r="I37" s="226">
        <f>'3.sz.m Önk  bev.'!I35</f>
        <v>1500138</v>
      </c>
      <c r="J37" s="921">
        <f t="shared" si="3"/>
        <v>1</v>
      </c>
      <c r="K37" s="287">
        <f>'3.sz.m Önk  bev.'!L35</f>
        <v>0</v>
      </c>
      <c r="L37" s="287">
        <f>'3.sz.m Önk  bev.'!M35</f>
        <v>16320</v>
      </c>
      <c r="M37" s="287">
        <f>'3.sz.m Önk  bev.'!N35</f>
        <v>1500138</v>
      </c>
      <c r="N37" s="226">
        <f>'3.sz.m Önk  bev.'!O35</f>
        <v>1500138</v>
      </c>
      <c r="O37" s="226">
        <f>'3.sz.m Önk  bev.'!P35</f>
        <v>1500138</v>
      </c>
      <c r="P37" s="921">
        <f t="shared" si="4"/>
        <v>1</v>
      </c>
      <c r="Q37" s="607">
        <f t="shared" si="5"/>
        <v>6.666053389754809E-07</v>
      </c>
      <c r="R37" s="287">
        <v>0</v>
      </c>
      <c r="S37" s="287">
        <v>0</v>
      </c>
      <c r="T37" s="287">
        <v>0</v>
      </c>
      <c r="U37" s="287">
        <v>0</v>
      </c>
      <c r="V37" s="287">
        <v>0</v>
      </c>
      <c r="W37" s="921"/>
      <c r="X37" s="287">
        <v>0</v>
      </c>
      <c r="Y37" s="287">
        <v>0</v>
      </c>
      <c r="Z37" s="287">
        <v>0</v>
      </c>
      <c r="AA37" s="287">
        <v>0</v>
      </c>
      <c r="AB37" s="287">
        <v>0</v>
      </c>
      <c r="AC37" s="921"/>
      <c r="AD37" s="287">
        <v>0</v>
      </c>
      <c r="AE37" s="813"/>
    </row>
    <row r="38" spans="1:31" ht="21.75" customHeight="1">
      <c r="A38" s="54"/>
      <c r="B38" s="59" t="s">
        <v>68</v>
      </c>
      <c r="C38" s="1360" t="s">
        <v>354</v>
      </c>
      <c r="D38" s="1363"/>
      <c r="E38" s="287"/>
      <c r="F38" s="226"/>
      <c r="G38" s="226"/>
      <c r="H38" s="226"/>
      <c r="I38" s="226">
        <f>'3.sz.m Önk  bev.'!I36</f>
        <v>0</v>
      </c>
      <c r="J38" s="921"/>
      <c r="K38" s="287"/>
      <c r="L38" s="287"/>
      <c r="M38" s="287"/>
      <c r="N38" s="226"/>
      <c r="O38" s="226"/>
      <c r="P38" s="921"/>
      <c r="Q38" s="607"/>
      <c r="R38" s="287">
        <v>0</v>
      </c>
      <c r="S38" s="287">
        <v>0</v>
      </c>
      <c r="T38" s="287">
        <v>0</v>
      </c>
      <c r="U38" s="287">
        <v>0</v>
      </c>
      <c r="V38" s="287">
        <v>0</v>
      </c>
      <c r="W38" s="921"/>
      <c r="X38" s="287">
        <v>0</v>
      </c>
      <c r="Y38" s="287">
        <v>0</v>
      </c>
      <c r="Z38" s="287">
        <v>0</v>
      </c>
      <c r="AA38" s="287">
        <v>0</v>
      </c>
      <c r="AB38" s="287">
        <v>0</v>
      </c>
      <c r="AC38" s="921"/>
      <c r="AD38" s="287">
        <v>0</v>
      </c>
      <c r="AE38" s="813"/>
    </row>
    <row r="39" spans="1:31" ht="45.75" customHeight="1">
      <c r="A39" s="54"/>
      <c r="B39" s="59" t="s">
        <v>350</v>
      </c>
      <c r="C39" s="1360" t="s">
        <v>313</v>
      </c>
      <c r="D39" s="1363"/>
      <c r="E39" s="287">
        <f aca="true" t="shared" si="12" ref="E39:N39">SUM(E40:E42)</f>
        <v>104936759</v>
      </c>
      <c r="F39" s="226">
        <f t="shared" si="12"/>
        <v>107649188</v>
      </c>
      <c r="G39" s="226">
        <f t="shared" si="12"/>
        <v>107965229</v>
      </c>
      <c r="H39" s="226">
        <f>SUM(H40:H42)</f>
        <v>111313612</v>
      </c>
      <c r="I39" s="226">
        <f t="shared" si="12"/>
        <v>62248171</v>
      </c>
      <c r="J39" s="921">
        <f t="shared" si="3"/>
        <v>0.5592143663436239</v>
      </c>
      <c r="K39" s="287">
        <f t="shared" si="12"/>
        <v>18477438</v>
      </c>
      <c r="L39" s="287">
        <f t="shared" si="12"/>
        <v>21189867</v>
      </c>
      <c r="M39" s="287">
        <f>SUM(M40:M42)</f>
        <v>21505908</v>
      </c>
      <c r="N39" s="226">
        <f t="shared" si="12"/>
        <v>24747611</v>
      </c>
      <c r="O39" s="226">
        <f>SUM(O40:O42)</f>
        <v>24747611</v>
      </c>
      <c r="P39" s="921">
        <f t="shared" si="4"/>
        <v>1</v>
      </c>
      <c r="Q39" s="607">
        <f t="shared" si="5"/>
        <v>4.040794079072925E-08</v>
      </c>
      <c r="R39" s="287">
        <f>SUM(R40:R42)</f>
        <v>86459321</v>
      </c>
      <c r="S39" s="287">
        <f>SUM(S40:S42)</f>
        <v>86459321</v>
      </c>
      <c r="T39" s="287">
        <f>SUM(T40:T42)</f>
        <v>86459321</v>
      </c>
      <c r="U39" s="287">
        <f>SUM(U40:U42)</f>
        <v>86566001</v>
      </c>
      <c r="V39" s="287">
        <f>SUM(V40:V42)</f>
        <v>37500560</v>
      </c>
      <c r="W39" s="921">
        <f>+V39/U39</f>
        <v>0.4332019449529614</v>
      </c>
      <c r="X39" s="287">
        <v>0</v>
      </c>
      <c r="Y39" s="287">
        <v>0</v>
      </c>
      <c r="Z39" s="287">
        <v>0</v>
      </c>
      <c r="AA39" s="287">
        <v>0</v>
      </c>
      <c r="AB39" s="287">
        <v>0</v>
      </c>
      <c r="AC39" s="921"/>
      <c r="AD39" s="287">
        <v>0</v>
      </c>
      <c r="AE39" s="813"/>
    </row>
    <row r="40" spans="1:31" ht="21.75" customHeight="1">
      <c r="A40" s="54"/>
      <c r="B40" s="59"/>
      <c r="C40" s="56" t="s">
        <v>351</v>
      </c>
      <c r="D40" s="485" t="s">
        <v>33</v>
      </c>
      <c r="E40" s="287">
        <f>'3.sz.m Önk  bev.'!E38</f>
        <v>8212128</v>
      </c>
      <c r="F40" s="226">
        <f>'3.sz.m Önk  bev.'!F38</f>
        <v>8212128</v>
      </c>
      <c r="G40" s="226">
        <f>'3.sz.m Önk  bev.'!G38</f>
        <v>8212128</v>
      </c>
      <c r="H40" s="226">
        <f>'3.sz.m Önk  bev.'!H38</f>
        <v>8852600</v>
      </c>
      <c r="I40" s="226">
        <f>'3.sz.m Önk  bev.'!I38</f>
        <v>8852600</v>
      </c>
      <c r="J40" s="921">
        <f t="shared" si="3"/>
        <v>1</v>
      </c>
      <c r="K40" s="287">
        <f>'3.sz.m Önk  bev.'!L38</f>
        <v>8212128</v>
      </c>
      <c r="L40" s="287">
        <f>'3.sz.m Önk  bev.'!M38</f>
        <v>8212128</v>
      </c>
      <c r="M40" s="287">
        <f>'3.sz.m Önk  bev.'!N38</f>
        <v>8212128</v>
      </c>
      <c r="N40" s="226">
        <f>'3.sz.m Önk  bev.'!O38</f>
        <v>8852600</v>
      </c>
      <c r="O40" s="226">
        <f>'3.sz.m Önk  bev.'!P38</f>
        <v>8852600</v>
      </c>
      <c r="P40" s="921">
        <f t="shared" si="4"/>
        <v>1</v>
      </c>
      <c r="Q40" s="607">
        <f t="shared" si="5"/>
        <v>1.1296116395183335E-07</v>
      </c>
      <c r="R40" s="287">
        <v>0</v>
      </c>
      <c r="S40" s="287">
        <v>0</v>
      </c>
      <c r="T40" s="287">
        <v>0</v>
      </c>
      <c r="U40" s="287">
        <v>0</v>
      </c>
      <c r="V40" s="287">
        <v>0</v>
      </c>
      <c r="W40" s="921"/>
      <c r="X40" s="287">
        <v>0</v>
      </c>
      <c r="Y40" s="287">
        <v>0</v>
      </c>
      <c r="Z40" s="287">
        <v>0</v>
      </c>
      <c r="AA40" s="287">
        <v>0</v>
      </c>
      <c r="AB40" s="287">
        <v>0</v>
      </c>
      <c r="AC40" s="921"/>
      <c r="AD40" s="287">
        <v>0</v>
      </c>
      <c r="AE40" s="813"/>
    </row>
    <row r="41" spans="1:31" ht="21.75" customHeight="1">
      <c r="A41" s="54"/>
      <c r="B41" s="59"/>
      <c r="C41" s="50" t="s">
        <v>352</v>
      </c>
      <c r="D41" s="188" t="s">
        <v>32</v>
      </c>
      <c r="E41" s="287">
        <f>'3.sz.m Önk  bev.'!E39+'5.2 sz. m ÁMK'!D20</f>
        <v>86459321</v>
      </c>
      <c r="F41" s="226">
        <f>'3.sz.m Önk  bev.'!F39+'5.2 sz. m ÁMK'!E20</f>
        <v>86459321</v>
      </c>
      <c r="G41" s="226">
        <f>'3.sz.m Önk  bev.'!G39+'5.2 sz. m ÁMK'!F20</f>
        <v>86459321</v>
      </c>
      <c r="H41" s="226">
        <f>'3.sz.m Önk  bev.'!H39+'5.2 sz. m ÁMK'!G20</f>
        <v>86566001</v>
      </c>
      <c r="I41" s="226">
        <f>'3.sz.m Önk  bev.'!I39+'5.2 sz. m ÁMK'!H20</f>
        <v>37500560</v>
      </c>
      <c r="J41" s="921">
        <f t="shared" si="3"/>
        <v>0.4332019449529614</v>
      </c>
      <c r="K41" s="287">
        <f>'3.sz.m Önk  bev.'!L39+'5.2 sz. m ÁMK'!L20</f>
        <v>0</v>
      </c>
      <c r="L41" s="287">
        <f>'3.sz.m Önk  bev.'!M39+'5.2 sz. m ÁMK'!M20</f>
        <v>0</v>
      </c>
      <c r="M41" s="287">
        <f>'3.sz.m Önk  bev.'!N39+'5.2 sz. m ÁMK'!N20</f>
        <v>0</v>
      </c>
      <c r="N41" s="226">
        <f>'3.sz.m Önk  bev.'!O39+'5.2 sz. m ÁMK'!O20</f>
        <v>0</v>
      </c>
      <c r="O41" s="226">
        <f>'3.sz.m Önk  bev.'!P39+'5.2 sz. m ÁMK'!P20</f>
        <v>0</v>
      </c>
      <c r="P41" s="921"/>
      <c r="Q41" s="607"/>
      <c r="R41" s="286">
        <f>+'3.sz.m Önk  bev.'!S39</f>
        <v>86459321</v>
      </c>
      <c r="S41" s="286">
        <f>+'3.sz.m Önk  bev.'!T39</f>
        <v>86459321</v>
      </c>
      <c r="T41" s="286">
        <f>+'3.sz.m Önk  bev.'!U39</f>
        <v>86459321</v>
      </c>
      <c r="U41" s="286">
        <f>+'3.sz.m Önk  bev.'!V39</f>
        <v>86566001</v>
      </c>
      <c r="V41" s="286">
        <f>+'3.sz.m Önk  bev.'!W39</f>
        <v>37500560</v>
      </c>
      <c r="W41" s="921">
        <f>+V41/U41</f>
        <v>0.4332019449529614</v>
      </c>
      <c r="X41" s="287">
        <v>0</v>
      </c>
      <c r="Y41" s="287">
        <v>0</v>
      </c>
      <c r="Z41" s="287">
        <v>0</v>
      </c>
      <c r="AA41" s="287">
        <v>0</v>
      </c>
      <c r="AB41" s="287">
        <v>0</v>
      </c>
      <c r="AC41" s="921"/>
      <c r="AD41" s="287">
        <v>0</v>
      </c>
      <c r="AE41" s="813"/>
    </row>
    <row r="42" spans="1:31" ht="21.75" customHeight="1" thickBot="1">
      <c r="A42" s="54"/>
      <c r="B42" s="59"/>
      <c r="C42" s="50" t="s">
        <v>353</v>
      </c>
      <c r="D42" s="188" t="s">
        <v>34</v>
      </c>
      <c r="E42" s="287">
        <f>'3.sz.m Önk  bev.'!E40+'5.1 sz. m Köz Hiv'!D16</f>
        <v>10265310</v>
      </c>
      <c r="F42" s="287">
        <f>'3.sz.m Önk  bev.'!F40+'5.1 sz. m Köz Hiv'!E16</f>
        <v>12977739</v>
      </c>
      <c r="G42" s="287">
        <f>'3.sz.m Önk  bev.'!G40+'5.1 sz. m Köz Hiv'!F16</f>
        <v>13293780</v>
      </c>
      <c r="H42" s="287">
        <f>'3.sz.m Önk  bev.'!H40+'5.1 sz. m Köz Hiv'!G16</f>
        <v>15895011</v>
      </c>
      <c r="I42" s="287">
        <f>'3.sz.m Önk  bev.'!I40+'5.1 sz. m Köz Hiv'!H16+'5.2 sz. m ÁMK'!H19</f>
        <v>15895011</v>
      </c>
      <c r="J42" s="954">
        <f t="shared" si="3"/>
        <v>1</v>
      </c>
      <c r="K42" s="287">
        <f>'3.sz.m Önk  bev.'!L40+'5.1 sz. m Köz Hiv'!L16</f>
        <v>10265310</v>
      </c>
      <c r="L42" s="287">
        <f>'3.sz.m Önk  bev.'!M40+'5.1 sz. m Köz Hiv'!M16</f>
        <v>12977739</v>
      </c>
      <c r="M42" s="287">
        <f>'3.sz.m Önk  bev.'!N40+'5.1 sz. m Köz Hiv'!N16</f>
        <v>13293780</v>
      </c>
      <c r="N42" s="287">
        <f>'3.sz.m Önk  bev.'!O40+'5.1 sz. m Köz Hiv'!O16+'5.2 sz. m ÁMK'!O19</f>
        <v>15895011</v>
      </c>
      <c r="O42" s="287">
        <f>'3.sz.m Önk  bev.'!P40+'5.1 sz. m Köz Hiv'!P16+'5.2 sz. m ÁMK'!P19</f>
        <v>15895011</v>
      </c>
      <c r="P42" s="954">
        <f t="shared" si="4"/>
        <v>1</v>
      </c>
      <c r="Q42" s="608">
        <f t="shared" si="5"/>
        <v>6.291282214274655E-08</v>
      </c>
      <c r="R42" s="287">
        <v>0</v>
      </c>
      <c r="S42" s="287">
        <v>0</v>
      </c>
      <c r="T42" s="287">
        <v>0</v>
      </c>
      <c r="U42" s="287">
        <v>0</v>
      </c>
      <c r="V42" s="287">
        <v>0</v>
      </c>
      <c r="W42" s="954"/>
      <c r="X42" s="287">
        <v>0</v>
      </c>
      <c r="Y42" s="287">
        <v>0</v>
      </c>
      <c r="Z42" s="287">
        <v>0</v>
      </c>
      <c r="AA42" s="287">
        <v>0</v>
      </c>
      <c r="AB42" s="287">
        <v>0</v>
      </c>
      <c r="AC42" s="954"/>
      <c r="AD42" s="287">
        <v>0</v>
      </c>
      <c r="AE42" s="813"/>
    </row>
    <row r="43" spans="1:31" ht="33" customHeight="1" thickBot="1">
      <c r="A43" s="61" t="s">
        <v>11</v>
      </c>
      <c r="B43" s="1368" t="s">
        <v>314</v>
      </c>
      <c r="C43" s="1368"/>
      <c r="D43" s="1368"/>
      <c r="E43" s="279">
        <f>SUM(E44:E45)</f>
        <v>23488680</v>
      </c>
      <c r="F43" s="64">
        <f>SUM(F44:F45)+F49</f>
        <v>23488680</v>
      </c>
      <c r="G43" s="64">
        <f>SUM(G44:G45)+G49</f>
        <v>23488680</v>
      </c>
      <c r="H43" s="64">
        <f>SUM(H44:H45)+H49</f>
        <v>23382000</v>
      </c>
      <c r="I43" s="64">
        <f>SUM(I44:I45)+I49</f>
        <v>23382000</v>
      </c>
      <c r="J43" s="922">
        <f t="shared" si="3"/>
        <v>1</v>
      </c>
      <c r="K43" s="279">
        <f>SUM(K44:K45)</f>
        <v>15000000</v>
      </c>
      <c r="L43" s="279">
        <f>SUM(L44:L45)</f>
        <v>15000000</v>
      </c>
      <c r="M43" s="279">
        <f>SUM(M44:M45)</f>
        <v>15000000</v>
      </c>
      <c r="N43" s="64">
        <f>SUM(N44:N45)+N49</f>
        <v>15000000</v>
      </c>
      <c r="O43" s="64">
        <f>SUM(O44:O45)+O49</f>
        <v>15000000</v>
      </c>
      <c r="P43" s="922">
        <f t="shared" si="4"/>
        <v>1</v>
      </c>
      <c r="Q43" s="605">
        <f t="shared" si="5"/>
        <v>6.666666666666667E-08</v>
      </c>
      <c r="R43" s="279">
        <f>SUM(R44:R45)</f>
        <v>8488680</v>
      </c>
      <c r="S43" s="279">
        <f>SUM(S44:S45)</f>
        <v>8488680</v>
      </c>
      <c r="T43" s="279">
        <f>SUM(T44:T45)</f>
        <v>8488680</v>
      </c>
      <c r="U43" s="279">
        <f>SUM(U44:U45)</f>
        <v>8382000</v>
      </c>
      <c r="V43" s="279">
        <f>SUM(V44:V45)</f>
        <v>8382000</v>
      </c>
      <c r="W43" s="922">
        <f>+V43/U43</f>
        <v>1</v>
      </c>
      <c r="X43" s="279">
        <f aca="true" t="shared" si="13" ref="X43:AD43">SUM(X44:X45)</f>
        <v>0</v>
      </c>
      <c r="Y43" s="279">
        <f t="shared" si="13"/>
        <v>0</v>
      </c>
      <c r="Z43" s="279">
        <f>SUM(Z44:Z45)</f>
        <v>0</v>
      </c>
      <c r="AA43" s="279">
        <f t="shared" si="13"/>
        <v>0</v>
      </c>
      <c r="AB43" s="279">
        <f t="shared" si="13"/>
        <v>0</v>
      </c>
      <c r="AC43" s="922"/>
      <c r="AD43" s="279">
        <f t="shared" si="13"/>
        <v>0</v>
      </c>
      <c r="AE43" s="813"/>
    </row>
    <row r="44" spans="1:31" ht="21.75" customHeight="1">
      <c r="A44" s="55"/>
      <c r="B44" s="62" t="s">
        <v>315</v>
      </c>
      <c r="C44" s="1372" t="s">
        <v>317</v>
      </c>
      <c r="D44" s="1372"/>
      <c r="E44" s="287">
        <f>'3.sz.m Önk  bev.'!E42</f>
        <v>15000000</v>
      </c>
      <c r="F44" s="226">
        <f>'3.sz.m Önk  bev.'!F42</f>
        <v>15000000</v>
      </c>
      <c r="G44" s="226">
        <f>'3.sz.m Önk  bev.'!G42</f>
        <v>15000000</v>
      </c>
      <c r="H44" s="226">
        <f>'3.sz.m Önk  bev.'!H42</f>
        <v>15000000</v>
      </c>
      <c r="I44" s="226">
        <f>'3.sz.m Önk  bev.'!I42</f>
        <v>15000000</v>
      </c>
      <c r="J44" s="921">
        <f t="shared" si="3"/>
        <v>1</v>
      </c>
      <c r="K44" s="287">
        <f>'3.sz.m Önk  bev.'!L42</f>
        <v>15000000</v>
      </c>
      <c r="L44" s="287">
        <f>'3.sz.m Önk  bev.'!M42</f>
        <v>15000000</v>
      </c>
      <c r="M44" s="287">
        <f>'3.sz.m Önk  bev.'!N42</f>
        <v>15000000</v>
      </c>
      <c r="N44" s="226">
        <f>'3.sz.m Önk  bev.'!O42</f>
        <v>15000000</v>
      </c>
      <c r="O44" s="226">
        <f>'3.sz.m Önk  bev.'!P42</f>
        <v>15000000</v>
      </c>
      <c r="P44" s="921">
        <f t="shared" si="4"/>
        <v>1</v>
      </c>
      <c r="Q44" s="609"/>
      <c r="R44" s="287">
        <v>0</v>
      </c>
      <c r="S44" s="287">
        <v>0</v>
      </c>
      <c r="T44" s="287">
        <v>0</v>
      </c>
      <c r="U44" s="287">
        <v>0</v>
      </c>
      <c r="V44" s="287">
        <v>0</v>
      </c>
      <c r="W44" s="921"/>
      <c r="X44" s="287">
        <v>0</v>
      </c>
      <c r="Y44" s="287">
        <v>0</v>
      </c>
      <c r="Z44" s="287">
        <v>0</v>
      </c>
      <c r="AA44" s="287">
        <v>0</v>
      </c>
      <c r="AB44" s="287">
        <v>0</v>
      </c>
      <c r="AC44" s="921"/>
      <c r="AD44" s="287">
        <v>0</v>
      </c>
      <c r="AE44" s="813"/>
    </row>
    <row r="45" spans="1:31" ht="21.75" customHeight="1">
      <c r="A45" s="54"/>
      <c r="B45" s="51" t="s">
        <v>316</v>
      </c>
      <c r="C45" s="1360" t="s">
        <v>318</v>
      </c>
      <c r="D45" s="1360"/>
      <c r="E45" s="287">
        <f aca="true" t="shared" si="14" ref="E45:N45">SUM(E46:E48)</f>
        <v>8488680</v>
      </c>
      <c r="F45" s="226">
        <f t="shared" si="14"/>
        <v>8488680</v>
      </c>
      <c r="G45" s="226">
        <f t="shared" si="14"/>
        <v>8488680</v>
      </c>
      <c r="H45" s="226">
        <f>SUM(H46:H48)</f>
        <v>8382000</v>
      </c>
      <c r="I45" s="226">
        <f t="shared" si="14"/>
        <v>8382000</v>
      </c>
      <c r="J45" s="921">
        <f t="shared" si="3"/>
        <v>1</v>
      </c>
      <c r="K45" s="287">
        <f t="shared" si="14"/>
        <v>0</v>
      </c>
      <c r="L45" s="287">
        <f t="shared" si="14"/>
        <v>0</v>
      </c>
      <c r="M45" s="287">
        <f>SUM(M46:M48)</f>
        <v>0</v>
      </c>
      <c r="N45" s="226">
        <f t="shared" si="14"/>
        <v>0</v>
      </c>
      <c r="O45" s="226">
        <f>SUM(O46:O48)</f>
        <v>0</v>
      </c>
      <c r="P45" s="921"/>
      <c r="Q45" s="589" t="e">
        <f t="shared" si="5"/>
        <v>#DIV/0!</v>
      </c>
      <c r="R45" s="287">
        <f>SUM(R46:R48)</f>
        <v>8488680</v>
      </c>
      <c r="S45" s="287">
        <f>SUM(S46:S48)</f>
        <v>8488680</v>
      </c>
      <c r="T45" s="287">
        <f>SUM(T46:T48)</f>
        <v>8488680</v>
      </c>
      <c r="U45" s="287">
        <f>SUM(U46:U48)</f>
        <v>8382000</v>
      </c>
      <c r="V45" s="287">
        <f>SUM(V46:V48)</f>
        <v>8382000</v>
      </c>
      <c r="W45" s="921">
        <f>+V45/U45</f>
        <v>1</v>
      </c>
      <c r="X45" s="287">
        <v>0</v>
      </c>
      <c r="Y45" s="287">
        <v>0</v>
      </c>
      <c r="Z45" s="287">
        <v>0</v>
      </c>
      <c r="AA45" s="287">
        <v>0</v>
      </c>
      <c r="AB45" s="287">
        <v>0</v>
      </c>
      <c r="AC45" s="921"/>
      <c r="AD45" s="287">
        <v>0</v>
      </c>
      <c r="AE45" s="813"/>
    </row>
    <row r="46" spans="1:31" ht="21.75" customHeight="1">
      <c r="A46" s="54"/>
      <c r="B46" s="62"/>
      <c r="C46" s="56" t="s">
        <v>319</v>
      </c>
      <c r="D46" s="485" t="s">
        <v>33</v>
      </c>
      <c r="E46" s="287">
        <f>'3.sz.m Önk  bev.'!E44</f>
        <v>0</v>
      </c>
      <c r="F46" s="226">
        <f>'3.sz.m Önk  bev.'!F44</f>
        <v>0</v>
      </c>
      <c r="G46" s="226">
        <f>'3.sz.m Önk  bev.'!G44</f>
        <v>0</v>
      </c>
      <c r="H46" s="226">
        <f>'3.sz.m Önk  bev.'!H44</f>
        <v>0</v>
      </c>
      <c r="I46" s="226">
        <f>'3.sz.m Önk  bev.'!I44</f>
        <v>0</v>
      </c>
      <c r="J46" s="921"/>
      <c r="K46" s="287">
        <f>'3.sz.m Önk  bev.'!L44</f>
        <v>0</v>
      </c>
      <c r="L46" s="287">
        <f>'3.sz.m Önk  bev.'!M44</f>
        <v>0</v>
      </c>
      <c r="M46" s="287">
        <f>'3.sz.m Önk  bev.'!N44</f>
        <v>0</v>
      </c>
      <c r="N46" s="226">
        <f>'3.sz.m Önk  bev.'!O44</f>
        <v>0</v>
      </c>
      <c r="O46" s="226">
        <f>'3.sz.m Önk  bev.'!P44</f>
        <v>0</v>
      </c>
      <c r="P46" s="921"/>
      <c r="Q46" s="589"/>
      <c r="R46" s="287">
        <v>0</v>
      </c>
      <c r="S46" s="287">
        <v>0</v>
      </c>
      <c r="T46" s="287">
        <v>0</v>
      </c>
      <c r="U46" s="287">
        <v>0</v>
      </c>
      <c r="V46" s="287">
        <v>0</v>
      </c>
      <c r="W46" s="921"/>
      <c r="X46" s="287">
        <v>0</v>
      </c>
      <c r="Y46" s="287">
        <v>0</v>
      </c>
      <c r="Z46" s="287">
        <v>0</v>
      </c>
      <c r="AA46" s="287">
        <v>0</v>
      </c>
      <c r="AB46" s="287">
        <v>0</v>
      </c>
      <c r="AC46" s="921"/>
      <c r="AD46" s="287">
        <v>0</v>
      </c>
      <c r="AE46" s="813"/>
    </row>
    <row r="47" spans="1:31" ht="21.75" customHeight="1">
      <c r="A47" s="54"/>
      <c r="B47" s="51"/>
      <c r="C47" s="50" t="s">
        <v>320</v>
      </c>
      <c r="D47" s="485" t="s">
        <v>32</v>
      </c>
      <c r="E47" s="287">
        <f>'3.sz.m Önk  bev.'!E45</f>
        <v>8488680</v>
      </c>
      <c r="F47" s="226">
        <f>'3.sz.m Önk  bev.'!F45</f>
        <v>8488680</v>
      </c>
      <c r="G47" s="226">
        <f>'3.sz.m Önk  bev.'!G45</f>
        <v>8488680</v>
      </c>
      <c r="H47" s="226">
        <f>'3.sz.m Önk  bev.'!H45</f>
        <v>8382000</v>
      </c>
      <c r="I47" s="226">
        <f>'3.sz.m Önk  bev.'!I45</f>
        <v>8382000</v>
      </c>
      <c r="J47" s="921">
        <f t="shared" si="3"/>
        <v>1</v>
      </c>
      <c r="K47" s="287">
        <f>'3.sz.m Önk  bev.'!L45</f>
        <v>0</v>
      </c>
      <c r="L47" s="287">
        <f>'3.sz.m Önk  bev.'!M45</f>
        <v>0</v>
      </c>
      <c r="M47" s="287">
        <f>'3.sz.m Önk  bev.'!N45</f>
        <v>0</v>
      </c>
      <c r="N47" s="226">
        <f>'3.sz.m Önk  bev.'!O45</f>
        <v>0</v>
      </c>
      <c r="O47" s="226">
        <f>'3.sz.m Önk  bev.'!P45</f>
        <v>0</v>
      </c>
      <c r="P47" s="921"/>
      <c r="Q47" s="589"/>
      <c r="R47" s="286">
        <f>+'3.sz.m Önk  bev.'!S45</f>
        <v>8488680</v>
      </c>
      <c r="S47" s="286">
        <f>+'3.sz.m Önk  bev.'!T45</f>
        <v>8488680</v>
      </c>
      <c r="T47" s="286">
        <f>+'3.sz.m Önk  bev.'!U45</f>
        <v>8488680</v>
      </c>
      <c r="U47" s="286">
        <f>+'3.sz.m Önk  bev.'!V45</f>
        <v>8382000</v>
      </c>
      <c r="V47" s="286">
        <f>+'3.sz.m Önk  bev.'!W45</f>
        <v>8382000</v>
      </c>
      <c r="W47" s="921">
        <f>+V47/U47</f>
        <v>1</v>
      </c>
      <c r="X47" s="287">
        <v>0</v>
      </c>
      <c r="Y47" s="287">
        <v>0</v>
      </c>
      <c r="Z47" s="287">
        <v>0</v>
      </c>
      <c r="AA47" s="287">
        <v>0</v>
      </c>
      <c r="AB47" s="287">
        <v>0</v>
      </c>
      <c r="AC47" s="921"/>
      <c r="AD47" s="287">
        <v>0</v>
      </c>
      <c r="AE47" s="813"/>
    </row>
    <row r="48" spans="1:31" ht="21.75" customHeight="1">
      <c r="A48" s="58"/>
      <c r="B48" s="62"/>
      <c r="C48" s="56" t="s">
        <v>321</v>
      </c>
      <c r="D48" s="485" t="s">
        <v>322</v>
      </c>
      <c r="E48" s="287">
        <f>'3.sz.m Önk  bev.'!E46</f>
        <v>0</v>
      </c>
      <c r="F48" s="226">
        <f>'3.sz.m Önk  bev.'!F46</f>
        <v>0</v>
      </c>
      <c r="G48" s="226">
        <f>'3.sz.m Önk  bev.'!G46</f>
        <v>0</v>
      </c>
      <c r="H48" s="226">
        <f>'3.sz.m Önk  bev.'!H46</f>
        <v>0</v>
      </c>
      <c r="I48" s="226">
        <f>'3.sz.m Önk  bev.'!I46</f>
        <v>0</v>
      </c>
      <c r="J48" s="921"/>
      <c r="K48" s="287">
        <f>'3.sz.m Önk  bev.'!L46</f>
        <v>0</v>
      </c>
      <c r="L48" s="287">
        <f>'3.sz.m Önk  bev.'!M46</f>
        <v>0</v>
      </c>
      <c r="M48" s="287">
        <f>'3.sz.m Önk  bev.'!N46</f>
        <v>0</v>
      </c>
      <c r="N48" s="226">
        <f>'3.sz.m Önk  bev.'!O46</f>
        <v>0</v>
      </c>
      <c r="O48" s="226">
        <f>'3.sz.m Önk  bev.'!P46</f>
        <v>0</v>
      </c>
      <c r="P48" s="921"/>
      <c r="Q48" s="589" t="e">
        <f t="shared" si="5"/>
        <v>#DIV/0!</v>
      </c>
      <c r="R48" s="287">
        <v>0</v>
      </c>
      <c r="S48" s="287">
        <v>0</v>
      </c>
      <c r="T48" s="287">
        <v>0</v>
      </c>
      <c r="U48" s="287">
        <v>0</v>
      </c>
      <c r="V48" s="287">
        <v>0</v>
      </c>
      <c r="W48" s="921"/>
      <c r="X48" s="287">
        <v>0</v>
      </c>
      <c r="Y48" s="287">
        <v>0</v>
      </c>
      <c r="Z48" s="287">
        <v>0</v>
      </c>
      <c r="AA48" s="287">
        <v>0</v>
      </c>
      <c r="AB48" s="287">
        <v>0</v>
      </c>
      <c r="AC48" s="921"/>
      <c r="AD48" s="287">
        <v>0</v>
      </c>
      <c r="AE48" s="813"/>
    </row>
    <row r="49" spans="1:31" ht="21.75" customHeight="1" thickBot="1">
      <c r="A49" s="289"/>
      <c r="B49" s="51" t="s">
        <v>347</v>
      </c>
      <c r="C49" s="1360" t="s">
        <v>471</v>
      </c>
      <c r="D49" s="1360"/>
      <c r="E49" s="287"/>
      <c r="F49" s="226">
        <f>'3.sz.m Önk  bev.'!F47</f>
        <v>0</v>
      </c>
      <c r="G49" s="226">
        <f>'3.sz.m Önk  bev.'!G47</f>
        <v>0</v>
      </c>
      <c r="H49" s="226">
        <f>'3.sz.m Önk  bev.'!H47</f>
        <v>0</v>
      </c>
      <c r="I49" s="226">
        <f>'3.sz.m Önk  bev.'!I47</f>
        <v>0</v>
      </c>
      <c r="J49" s="921"/>
      <c r="K49" s="287"/>
      <c r="L49" s="287"/>
      <c r="M49" s="287"/>
      <c r="N49" s="226">
        <f>'3.sz.m Önk  bev.'!O47</f>
        <v>0</v>
      </c>
      <c r="O49" s="226">
        <v>0</v>
      </c>
      <c r="P49" s="921"/>
      <c r="Q49" s="589"/>
      <c r="R49" s="287">
        <v>0</v>
      </c>
      <c r="S49" s="287">
        <v>0</v>
      </c>
      <c r="T49" s="287">
        <v>0</v>
      </c>
      <c r="U49" s="287">
        <v>0</v>
      </c>
      <c r="V49" s="287">
        <v>0</v>
      </c>
      <c r="W49" s="921"/>
      <c r="X49" s="287">
        <v>0</v>
      </c>
      <c r="Y49" s="287">
        <v>0</v>
      </c>
      <c r="Z49" s="287">
        <v>0</v>
      </c>
      <c r="AA49" s="287">
        <v>0</v>
      </c>
      <c r="AB49" s="287">
        <v>0</v>
      </c>
      <c r="AC49" s="921"/>
      <c r="AD49" s="287">
        <v>0</v>
      </c>
      <c r="AE49" s="813"/>
    </row>
    <row r="50" spans="1:31" ht="21.75" customHeight="1" hidden="1" thickBot="1">
      <c r="A50" s="289"/>
      <c r="B50" s="62"/>
      <c r="C50" s="1366"/>
      <c r="D50" s="1367"/>
      <c r="E50" s="433"/>
      <c r="F50" s="434"/>
      <c r="G50" s="434"/>
      <c r="H50" s="434"/>
      <c r="I50" s="434"/>
      <c r="J50" s="927" t="e">
        <f t="shared" si="3"/>
        <v>#DIV/0!</v>
      </c>
      <c r="K50" s="433"/>
      <c r="L50" s="433"/>
      <c r="M50" s="433"/>
      <c r="N50" s="434"/>
      <c r="O50" s="434"/>
      <c r="P50" s="927" t="e">
        <f t="shared" si="4"/>
        <v>#DIV/0!</v>
      </c>
      <c r="Q50" s="590" t="e">
        <f t="shared" si="5"/>
        <v>#DIV/0!</v>
      </c>
      <c r="R50" s="433"/>
      <c r="S50" s="433"/>
      <c r="T50" s="433"/>
      <c r="U50" s="433"/>
      <c r="V50" s="433"/>
      <c r="W50" s="927" t="e">
        <f>+V50/U50</f>
        <v>#DIV/0!</v>
      </c>
      <c r="X50" s="433"/>
      <c r="Y50" s="433"/>
      <c r="Z50" s="433"/>
      <c r="AA50" s="433"/>
      <c r="AB50" s="433"/>
      <c r="AC50" s="927" t="e">
        <f>+AB50/AA50</f>
        <v>#DIV/0!</v>
      </c>
      <c r="AD50" s="433"/>
      <c r="AE50" s="813"/>
    </row>
    <row r="51" spans="1:31" ht="21.75" customHeight="1" thickBot="1">
      <c r="A51" s="61" t="s">
        <v>12</v>
      </c>
      <c r="B51" s="1368" t="s">
        <v>74</v>
      </c>
      <c r="C51" s="1368"/>
      <c r="D51" s="1368"/>
      <c r="E51" s="279">
        <f aca="true" t="shared" si="15" ref="E51:N51">E52+E53</f>
        <v>60000</v>
      </c>
      <c r="F51" s="64">
        <f t="shared" si="15"/>
        <v>1060000</v>
      </c>
      <c r="G51" s="64">
        <f t="shared" si="15"/>
        <v>1060000</v>
      </c>
      <c r="H51" s="64">
        <f>H52+H53</f>
        <v>11699300</v>
      </c>
      <c r="I51" s="64">
        <f t="shared" si="15"/>
        <v>11699300</v>
      </c>
      <c r="J51" s="922">
        <f t="shared" si="3"/>
        <v>1</v>
      </c>
      <c r="K51" s="279">
        <f t="shared" si="15"/>
        <v>60000</v>
      </c>
      <c r="L51" s="279">
        <f t="shared" si="15"/>
        <v>1060000</v>
      </c>
      <c r="M51" s="279">
        <f>M52+M53</f>
        <v>1060000</v>
      </c>
      <c r="N51" s="64">
        <f t="shared" si="15"/>
        <v>11699300</v>
      </c>
      <c r="O51" s="64">
        <f>O52+O53</f>
        <v>11699300</v>
      </c>
      <c r="P51" s="922">
        <f t="shared" si="4"/>
        <v>1</v>
      </c>
      <c r="Q51" s="605">
        <f t="shared" si="5"/>
        <v>8.547519937090253E-08</v>
      </c>
      <c r="R51" s="279">
        <f>R52+R53</f>
        <v>0</v>
      </c>
      <c r="S51" s="279">
        <f>S52+S53</f>
        <v>0</v>
      </c>
      <c r="T51" s="279">
        <f>T52+T53</f>
        <v>0</v>
      </c>
      <c r="U51" s="279">
        <f>U52+U53</f>
        <v>0</v>
      </c>
      <c r="V51" s="279">
        <f>V52+V53</f>
        <v>0</v>
      </c>
      <c r="W51" s="922"/>
      <c r="X51" s="279">
        <f aca="true" t="shared" si="16" ref="X51:AD51">X52+X53</f>
        <v>0</v>
      </c>
      <c r="Y51" s="279">
        <f t="shared" si="16"/>
        <v>0</v>
      </c>
      <c r="Z51" s="279">
        <f>Z52+Z53</f>
        <v>0</v>
      </c>
      <c r="AA51" s="279">
        <f t="shared" si="16"/>
        <v>0</v>
      </c>
      <c r="AB51" s="279">
        <f t="shared" si="16"/>
        <v>0</v>
      </c>
      <c r="AC51" s="922"/>
      <c r="AD51" s="279">
        <f t="shared" si="16"/>
        <v>0</v>
      </c>
      <c r="AE51" s="813"/>
    </row>
    <row r="52" spans="1:31" s="6" customFormat="1" ht="21.75" customHeight="1">
      <c r="A52" s="63"/>
      <c r="B52" s="62" t="s">
        <v>44</v>
      </c>
      <c r="C52" s="1372" t="s">
        <v>334</v>
      </c>
      <c r="D52" s="1372"/>
      <c r="E52" s="287">
        <f>'3.sz.m Önk  bev.'!E50</f>
        <v>60000</v>
      </c>
      <c r="F52" s="226">
        <f>'3.sz.m Önk  bev.'!F50</f>
        <v>60000</v>
      </c>
      <c r="G52" s="226">
        <f>'3.sz.m Önk  bev.'!G50</f>
        <v>60000</v>
      </c>
      <c r="H52" s="226">
        <f>'3.sz.m Önk  bev.'!H50</f>
        <v>75000</v>
      </c>
      <c r="I52" s="226">
        <f>'3.sz.m Önk  bev.'!I50+'5.2 sz. m ÁMK'!H24</f>
        <v>75000</v>
      </c>
      <c r="J52" s="921">
        <f t="shared" si="3"/>
        <v>1</v>
      </c>
      <c r="K52" s="287">
        <f>'3.sz.m Önk  bev.'!L50</f>
        <v>60000</v>
      </c>
      <c r="L52" s="287">
        <f>'3.sz.m Önk  bev.'!M50</f>
        <v>60000</v>
      </c>
      <c r="M52" s="287">
        <f>'3.sz.m Önk  bev.'!N50</f>
        <v>60000</v>
      </c>
      <c r="N52" s="287">
        <f>'3.sz.m Önk  bev.'!O50</f>
        <v>75000</v>
      </c>
      <c r="O52" s="287">
        <f>'3.sz.m Önk  bev.'!P50</f>
        <v>75000</v>
      </c>
      <c r="P52" s="921">
        <f t="shared" si="4"/>
        <v>1</v>
      </c>
      <c r="Q52" s="589">
        <f t="shared" si="5"/>
        <v>1.3333333333333333E-05</v>
      </c>
      <c r="R52" s="287">
        <v>0</v>
      </c>
      <c r="S52" s="287">
        <v>0</v>
      </c>
      <c r="T52" s="287">
        <v>0</v>
      </c>
      <c r="U52" s="287">
        <v>0</v>
      </c>
      <c r="V52" s="287">
        <v>0</v>
      </c>
      <c r="W52" s="921"/>
      <c r="X52" s="287">
        <v>0</v>
      </c>
      <c r="Y52" s="287">
        <v>0</v>
      </c>
      <c r="Z52" s="287">
        <v>0</v>
      </c>
      <c r="AA52" s="287">
        <v>0</v>
      </c>
      <c r="AB52" s="287">
        <v>0</v>
      </c>
      <c r="AC52" s="921"/>
      <c r="AD52" s="287">
        <v>0</v>
      </c>
      <c r="AE52" s="813"/>
    </row>
    <row r="53" spans="1:31" ht="21.75" customHeight="1" thickBot="1">
      <c r="A53" s="54"/>
      <c r="B53" s="50" t="s">
        <v>45</v>
      </c>
      <c r="C53" s="1360" t="s">
        <v>457</v>
      </c>
      <c r="D53" s="1360"/>
      <c r="E53" s="287">
        <f>'3.sz.m Önk  bev.'!E51</f>
        <v>0</v>
      </c>
      <c r="F53" s="226">
        <f>'3.sz.m Önk  bev.'!F51</f>
        <v>1000000</v>
      </c>
      <c r="G53" s="226">
        <f>'3.sz.m Önk  bev.'!G51</f>
        <v>1000000</v>
      </c>
      <c r="H53" s="226">
        <f>'3.sz.m Önk  bev.'!H51</f>
        <v>11624300</v>
      </c>
      <c r="I53" s="226">
        <f>'3.sz.m Önk  bev.'!I51</f>
        <v>11624300</v>
      </c>
      <c r="J53" s="921">
        <f t="shared" si="3"/>
        <v>1</v>
      </c>
      <c r="K53" s="287">
        <f>'3.sz.m Önk  bev.'!L51</f>
        <v>0</v>
      </c>
      <c r="L53" s="287">
        <f>'3.sz.m Önk  bev.'!M51</f>
        <v>1000000</v>
      </c>
      <c r="M53" s="287">
        <f>'3.sz.m Önk  bev.'!N51</f>
        <v>1000000</v>
      </c>
      <c r="N53" s="226">
        <f>'3.sz.m Önk  bev.'!O51</f>
        <v>11624300</v>
      </c>
      <c r="O53" s="226">
        <f>'3.sz.m Önk  bev.'!P51</f>
        <v>11624300</v>
      </c>
      <c r="P53" s="921">
        <f t="shared" si="4"/>
        <v>1</v>
      </c>
      <c r="Q53" s="610"/>
      <c r="R53" s="287">
        <v>0</v>
      </c>
      <c r="S53" s="287">
        <v>0</v>
      </c>
      <c r="T53" s="287">
        <v>0</v>
      </c>
      <c r="U53" s="287">
        <v>0</v>
      </c>
      <c r="V53" s="287">
        <v>0</v>
      </c>
      <c r="W53" s="921"/>
      <c r="X53" s="287">
        <v>0</v>
      </c>
      <c r="Y53" s="287">
        <v>0</v>
      </c>
      <c r="Z53" s="287">
        <v>0</v>
      </c>
      <c r="AA53" s="287">
        <v>0</v>
      </c>
      <c r="AB53" s="287">
        <v>0</v>
      </c>
      <c r="AC53" s="921"/>
      <c r="AD53" s="287">
        <v>0</v>
      </c>
      <c r="AE53" s="813"/>
    </row>
    <row r="54" spans="1:31" ht="21.75" customHeight="1" thickBot="1">
      <c r="A54" s="61" t="s">
        <v>13</v>
      </c>
      <c r="B54" s="1368" t="s">
        <v>323</v>
      </c>
      <c r="C54" s="1368"/>
      <c r="D54" s="1368"/>
      <c r="E54" s="275">
        <f aca="true" t="shared" si="17" ref="E54:N54">SUM(E55:E56)</f>
        <v>25000000</v>
      </c>
      <c r="F54" s="35">
        <f t="shared" si="17"/>
        <v>25950000</v>
      </c>
      <c r="G54" s="35">
        <f t="shared" si="17"/>
        <v>25950000</v>
      </c>
      <c r="H54" s="35">
        <f>SUM(H55:H56)</f>
        <v>25950000</v>
      </c>
      <c r="I54" s="35">
        <f t="shared" si="17"/>
        <v>25950000</v>
      </c>
      <c r="J54" s="929">
        <f t="shared" si="3"/>
        <v>1</v>
      </c>
      <c r="K54" s="275">
        <f t="shared" si="17"/>
        <v>25000000</v>
      </c>
      <c r="L54" s="275">
        <f t="shared" si="17"/>
        <v>25950000</v>
      </c>
      <c r="M54" s="275">
        <f>SUM(M55:M56)</f>
        <v>25950000</v>
      </c>
      <c r="N54" s="35">
        <f t="shared" si="17"/>
        <v>25950000</v>
      </c>
      <c r="O54" s="35">
        <f>SUM(O55:O56)</f>
        <v>25950000</v>
      </c>
      <c r="P54" s="929">
        <f t="shared" si="4"/>
        <v>1</v>
      </c>
      <c r="Q54" s="605">
        <f t="shared" si="5"/>
        <v>3.853564547206166E-08</v>
      </c>
      <c r="R54" s="275">
        <f>SUM(R55:R56)</f>
        <v>0</v>
      </c>
      <c r="S54" s="275">
        <f>SUM(S55:S56)</f>
        <v>0</v>
      </c>
      <c r="T54" s="275">
        <f>SUM(T55:T56)</f>
        <v>0</v>
      </c>
      <c r="U54" s="275">
        <f>SUM(U55:U56)</f>
        <v>0</v>
      </c>
      <c r="V54" s="275">
        <f>SUM(V55:V56)</f>
        <v>0</v>
      </c>
      <c r="W54" s="929"/>
      <c r="X54" s="275">
        <f aca="true" t="shared" si="18" ref="X54:AD54">SUM(X55:X56)</f>
        <v>0</v>
      </c>
      <c r="Y54" s="275">
        <f t="shared" si="18"/>
        <v>0</v>
      </c>
      <c r="Z54" s="275">
        <f>SUM(Z55:Z56)</f>
        <v>0</v>
      </c>
      <c r="AA54" s="275">
        <f t="shared" si="18"/>
        <v>0</v>
      </c>
      <c r="AB54" s="275">
        <f t="shared" si="18"/>
        <v>0</v>
      </c>
      <c r="AC54" s="929"/>
      <c r="AD54" s="275">
        <f t="shared" si="18"/>
        <v>0</v>
      </c>
      <c r="AE54" s="813"/>
    </row>
    <row r="55" spans="1:31" s="6" customFormat="1" ht="21.75" customHeight="1">
      <c r="A55" s="63"/>
      <c r="B55" s="56" t="s">
        <v>46</v>
      </c>
      <c r="C55" s="1372" t="s">
        <v>325</v>
      </c>
      <c r="D55" s="1372"/>
      <c r="E55" s="288">
        <f>'3.sz.m Önk  bev.'!E53</f>
        <v>25000000</v>
      </c>
      <c r="F55" s="227">
        <f>'3.sz.m Önk  bev.'!F53</f>
        <v>25950000</v>
      </c>
      <c r="G55" s="227">
        <f>'3.sz.m Önk  bev.'!G53</f>
        <v>25950000</v>
      </c>
      <c r="H55" s="227">
        <f>'3.sz.m Önk  bev.'!H53</f>
        <v>25950000</v>
      </c>
      <c r="I55" s="227">
        <f>'3.sz.m Önk  bev.'!I53</f>
        <v>25950000</v>
      </c>
      <c r="J55" s="1327">
        <f t="shared" si="3"/>
        <v>1</v>
      </c>
      <c r="K55" s="288">
        <f>'3.sz.m Önk  bev.'!L53</f>
        <v>25000000</v>
      </c>
      <c r="L55" s="288">
        <f>'3.sz.m Önk  bev.'!M53</f>
        <v>25950000</v>
      </c>
      <c r="M55" s="288">
        <f>'3.sz.m Önk  bev.'!N53</f>
        <v>25950000</v>
      </c>
      <c r="N55" s="227">
        <f>'3.sz.m Önk  bev.'!O53</f>
        <v>25950000</v>
      </c>
      <c r="O55" s="227">
        <f>'3.sz.m Önk  bev.'!P53</f>
        <v>25950000</v>
      </c>
      <c r="P55" s="1327">
        <f t="shared" si="4"/>
        <v>1</v>
      </c>
      <c r="Q55" s="589">
        <f t="shared" si="5"/>
        <v>3.853564547206166E-08</v>
      </c>
      <c r="R55" s="288">
        <v>0</v>
      </c>
      <c r="S55" s="288">
        <v>0</v>
      </c>
      <c r="T55" s="288">
        <v>0</v>
      </c>
      <c r="U55" s="288">
        <v>0</v>
      </c>
      <c r="V55" s="288">
        <v>0</v>
      </c>
      <c r="W55" s="1327"/>
      <c r="X55" s="288">
        <v>0</v>
      </c>
      <c r="Y55" s="288">
        <v>0</v>
      </c>
      <c r="Z55" s="288">
        <v>0</v>
      </c>
      <c r="AA55" s="288">
        <v>0</v>
      </c>
      <c r="AB55" s="288">
        <v>0</v>
      </c>
      <c r="AC55" s="1327"/>
      <c r="AD55" s="288">
        <v>0</v>
      </c>
      <c r="AE55" s="813"/>
    </row>
    <row r="56" spans="1:31" ht="21.75" customHeight="1" thickBot="1">
      <c r="A56" s="58"/>
      <c r="B56" s="59" t="s">
        <v>324</v>
      </c>
      <c r="C56" s="1373" t="s">
        <v>326</v>
      </c>
      <c r="D56" s="1373"/>
      <c r="E56" s="280">
        <v>0</v>
      </c>
      <c r="F56" s="78">
        <v>0</v>
      </c>
      <c r="G56" s="78">
        <v>0</v>
      </c>
      <c r="H56" s="78">
        <v>0</v>
      </c>
      <c r="I56" s="78">
        <v>0</v>
      </c>
      <c r="J56" s="1328"/>
      <c r="K56" s="280">
        <v>0</v>
      </c>
      <c r="L56" s="280">
        <v>0</v>
      </c>
      <c r="M56" s="280">
        <v>0</v>
      </c>
      <c r="N56" s="78"/>
      <c r="O56" s="78"/>
      <c r="P56" s="1328"/>
      <c r="Q56" s="613"/>
      <c r="R56" s="280">
        <v>0</v>
      </c>
      <c r="S56" s="280">
        <v>0</v>
      </c>
      <c r="T56" s="280">
        <v>0</v>
      </c>
      <c r="U56" s="280">
        <v>0</v>
      </c>
      <c r="V56" s="280">
        <v>0</v>
      </c>
      <c r="W56" s="1328"/>
      <c r="X56" s="280">
        <v>0</v>
      </c>
      <c r="Y56" s="280">
        <v>0</v>
      </c>
      <c r="Z56" s="280">
        <v>0</v>
      </c>
      <c r="AA56" s="280">
        <v>0</v>
      </c>
      <c r="AB56" s="280">
        <v>0</v>
      </c>
      <c r="AC56" s="1328"/>
      <c r="AD56" s="280">
        <v>0</v>
      </c>
      <c r="AE56" s="813"/>
    </row>
    <row r="57" spans="1:31" ht="21.75" customHeight="1" thickBot="1">
      <c r="A57" s="61" t="s">
        <v>14</v>
      </c>
      <c r="B57" s="1379" t="s">
        <v>76</v>
      </c>
      <c r="C57" s="1379"/>
      <c r="D57" s="1379"/>
      <c r="E57" s="275">
        <f aca="true" t="shared" si="19" ref="E57:N57">E7+E21+E43+E51+E54+E34</f>
        <v>673334795</v>
      </c>
      <c r="F57" s="35">
        <f t="shared" si="19"/>
        <v>681763937</v>
      </c>
      <c r="G57" s="35">
        <f>G7+G21+G43+G51+G54+G34</f>
        <v>686974013</v>
      </c>
      <c r="H57" s="35">
        <f>H7+H21+H43+H51+H54+H34</f>
        <v>716483838</v>
      </c>
      <c r="I57" s="35">
        <f t="shared" si="19"/>
        <v>664834471</v>
      </c>
      <c r="J57" s="929">
        <f t="shared" si="3"/>
        <v>0.9279127256461576</v>
      </c>
      <c r="K57" s="275">
        <f t="shared" si="19"/>
        <v>559948007</v>
      </c>
      <c r="L57" s="275">
        <f t="shared" si="19"/>
        <v>566816697</v>
      </c>
      <c r="M57" s="35">
        <f>M7+M21+M43+M51+M54+M34</f>
        <v>571360385</v>
      </c>
      <c r="N57" s="35">
        <f t="shared" si="19"/>
        <v>592854079</v>
      </c>
      <c r="O57" s="35">
        <f>O7+O21+O43+O51+O54+O34</f>
        <v>590270153</v>
      </c>
      <c r="P57" s="929">
        <f t="shared" si="4"/>
        <v>0.9956415480781402</v>
      </c>
      <c r="Q57" s="611">
        <f t="shared" si="5"/>
        <v>1.6794040613797316E-09</v>
      </c>
      <c r="R57" s="275">
        <f>R7+R21+R43+R51+R54+R34</f>
        <v>113386788</v>
      </c>
      <c r="S57" s="275">
        <f>S7+S21+S43+S51+S54+S34</f>
        <v>114947240</v>
      </c>
      <c r="T57" s="275">
        <f>T7+T21+T43+T51+T54+T34</f>
        <v>115613628</v>
      </c>
      <c r="U57" s="275">
        <f>U7+U21+U43+U51+U54+U34</f>
        <v>123629759</v>
      </c>
      <c r="V57" s="275">
        <f>V7+V21+V43+V51+V54+V34</f>
        <v>74564318</v>
      </c>
      <c r="W57" s="929">
        <f>+V57/U57</f>
        <v>0.6031259674298969</v>
      </c>
      <c r="X57" s="275">
        <f aca="true" t="shared" si="20" ref="X57:AD57">X7+X21+X43+X51+X54+X34</f>
        <v>5776781</v>
      </c>
      <c r="Y57" s="275">
        <f t="shared" si="20"/>
        <v>5776781</v>
      </c>
      <c r="Z57" s="275">
        <f>Z7+Z21+Z43+Z51+Z54+Z34</f>
        <v>5776781</v>
      </c>
      <c r="AA57" s="275">
        <f t="shared" si="20"/>
        <v>5776781</v>
      </c>
      <c r="AB57" s="275">
        <f t="shared" si="20"/>
        <v>5538912</v>
      </c>
      <c r="AC57" s="929">
        <f>+AB57/AA57</f>
        <v>0.958823261605382</v>
      </c>
      <c r="AD57" s="275">
        <f t="shared" si="20"/>
        <v>5610894</v>
      </c>
      <c r="AE57" s="813"/>
    </row>
    <row r="58" spans="1:31" ht="24" customHeight="1" thickBot="1">
      <c r="A58" s="57" t="s">
        <v>57</v>
      </c>
      <c r="B58" s="1368" t="s">
        <v>327</v>
      </c>
      <c r="C58" s="1368"/>
      <c r="D58" s="1368"/>
      <c r="E58" s="275">
        <f aca="true" t="shared" si="21" ref="E58:N58">SUM(E59:E61)</f>
        <v>353308786</v>
      </c>
      <c r="F58" s="35">
        <f t="shared" si="21"/>
        <v>353308786</v>
      </c>
      <c r="G58" s="35">
        <f t="shared" si="21"/>
        <v>352975396</v>
      </c>
      <c r="H58" s="35">
        <f>SUM(H59:H61)</f>
        <v>363287953</v>
      </c>
      <c r="I58" s="35">
        <f t="shared" si="21"/>
        <v>363287953</v>
      </c>
      <c r="J58" s="929">
        <f t="shared" si="3"/>
        <v>1</v>
      </c>
      <c r="K58" s="275">
        <f t="shared" si="21"/>
        <v>353308786</v>
      </c>
      <c r="L58" s="275">
        <f t="shared" si="21"/>
        <v>353308786</v>
      </c>
      <c r="M58" s="275">
        <f>SUM(M59:M61)</f>
        <v>352975396</v>
      </c>
      <c r="N58" s="35">
        <f t="shared" si="21"/>
        <v>363287953</v>
      </c>
      <c r="O58" s="35">
        <f>SUM(O59:O61)</f>
        <v>363287953</v>
      </c>
      <c r="P58" s="929">
        <f t="shared" si="4"/>
        <v>1</v>
      </c>
      <c r="Q58" s="611">
        <f t="shared" si="5"/>
        <v>2.752637382390712E-09</v>
      </c>
      <c r="R58" s="275">
        <f>SUM(R59:R61)</f>
        <v>0</v>
      </c>
      <c r="S58" s="275">
        <f>SUM(S59:S61)</f>
        <v>0</v>
      </c>
      <c r="T58" s="275">
        <f>SUM(T59:T61)</f>
        <v>0</v>
      </c>
      <c r="U58" s="275">
        <f>SUM(U59:U61)</f>
        <v>0</v>
      </c>
      <c r="V58" s="275">
        <f>SUM(V59:V61)</f>
        <v>0</v>
      </c>
      <c r="W58" s="929"/>
      <c r="X58" s="275">
        <f aca="true" t="shared" si="22" ref="X58:AD58">SUM(X59:X61)</f>
        <v>0</v>
      </c>
      <c r="Y58" s="275">
        <f t="shared" si="22"/>
        <v>0</v>
      </c>
      <c r="Z58" s="275">
        <f>SUM(Z59:Z61)</f>
        <v>0</v>
      </c>
      <c r="AA58" s="275">
        <f t="shared" si="22"/>
        <v>0</v>
      </c>
      <c r="AB58" s="275">
        <f t="shared" si="22"/>
        <v>0</v>
      </c>
      <c r="AC58" s="929"/>
      <c r="AD58" s="275">
        <f t="shared" si="22"/>
        <v>0</v>
      </c>
      <c r="AE58" s="813"/>
    </row>
    <row r="59" spans="1:31" ht="21.75" customHeight="1">
      <c r="A59" s="55"/>
      <c r="B59" s="56" t="s">
        <v>47</v>
      </c>
      <c r="C59" s="1372" t="s">
        <v>540</v>
      </c>
      <c r="D59" s="1372"/>
      <c r="E59" s="287">
        <f>'3.sz.m Önk  bev.'!E57</f>
        <v>0</v>
      </c>
      <c r="F59" s="226">
        <f>'3.sz.m Önk  bev.'!F57</f>
        <v>0</v>
      </c>
      <c r="G59" s="226">
        <f>'3.sz.m Önk  bev.'!G57</f>
        <v>0</v>
      </c>
      <c r="H59" s="226">
        <f>'3.sz.m Önk  bev.'!H57</f>
        <v>10312557</v>
      </c>
      <c r="I59" s="226">
        <f>'3.sz.m Önk  bev.'!I57</f>
        <v>10312557</v>
      </c>
      <c r="J59" s="921">
        <f t="shared" si="3"/>
        <v>1</v>
      </c>
      <c r="K59" s="287">
        <f>'3.sz.m Önk  bev.'!L57</f>
        <v>0</v>
      </c>
      <c r="L59" s="287">
        <f>'3.sz.m Önk  bev.'!M57</f>
        <v>0</v>
      </c>
      <c r="M59" s="287">
        <f>'3.sz.m Önk  bev.'!N57</f>
        <v>0</v>
      </c>
      <c r="N59" s="226">
        <f>H59</f>
        <v>10312557</v>
      </c>
      <c r="O59" s="226">
        <f>I59</f>
        <v>10312557</v>
      </c>
      <c r="P59" s="921">
        <f t="shared" si="4"/>
        <v>1</v>
      </c>
      <c r="Q59" s="612">
        <f t="shared" si="5"/>
        <v>9.696916099469801E-08</v>
      </c>
      <c r="R59" s="287">
        <v>0</v>
      </c>
      <c r="S59" s="287">
        <v>0</v>
      </c>
      <c r="T59" s="287">
        <v>0</v>
      </c>
      <c r="U59" s="287">
        <v>0</v>
      </c>
      <c r="V59" s="287">
        <v>0</v>
      </c>
      <c r="W59" s="921"/>
      <c r="X59" s="287">
        <v>0</v>
      </c>
      <c r="Y59" s="287">
        <v>0</v>
      </c>
      <c r="Z59" s="287">
        <v>0</v>
      </c>
      <c r="AA59" s="287">
        <v>0</v>
      </c>
      <c r="AB59" s="287">
        <v>0</v>
      </c>
      <c r="AC59" s="921"/>
      <c r="AD59" s="287">
        <v>0</v>
      </c>
      <c r="AE59" s="813"/>
    </row>
    <row r="60" spans="1:31" ht="21.75" customHeight="1">
      <c r="A60" s="54"/>
      <c r="B60" s="51" t="s">
        <v>48</v>
      </c>
      <c r="C60" s="1372" t="s">
        <v>505</v>
      </c>
      <c r="D60" s="1372"/>
      <c r="E60" s="287">
        <f>'3.sz.m Önk  bev.'!E58</f>
        <v>29500000</v>
      </c>
      <c r="F60" s="226">
        <f>'3.sz.m Önk  bev.'!F58</f>
        <v>29500000</v>
      </c>
      <c r="G60" s="226">
        <f>'3.sz.m Önk  bev.'!G58</f>
        <v>29500000</v>
      </c>
      <c r="H60" s="226">
        <f>'3.sz.m Önk  bev.'!H58</f>
        <v>29500000</v>
      </c>
      <c r="I60" s="226">
        <f>'3.sz.m Önk  bev.'!I58</f>
        <v>29500000</v>
      </c>
      <c r="J60" s="921">
        <f t="shared" si="3"/>
        <v>1</v>
      </c>
      <c r="K60" s="287">
        <f>'3.sz.m Önk  bev.'!L58</f>
        <v>29500000</v>
      </c>
      <c r="L60" s="287">
        <f>'3.sz.m Önk  bev.'!M58</f>
        <v>29500000</v>
      </c>
      <c r="M60" s="287">
        <f>'3.sz.m Önk  bev.'!N58</f>
        <v>29500000</v>
      </c>
      <c r="N60" s="226">
        <f>'3.sz.m Önk  bev.'!O58</f>
        <v>29500000</v>
      </c>
      <c r="O60" s="226">
        <f>'3.sz.m Önk  bev.'!P58</f>
        <v>29500000</v>
      </c>
      <c r="P60" s="921">
        <f t="shared" si="4"/>
        <v>1</v>
      </c>
      <c r="Q60" s="614"/>
      <c r="R60" s="287">
        <v>0</v>
      </c>
      <c r="S60" s="287">
        <v>0</v>
      </c>
      <c r="T60" s="287">
        <v>0</v>
      </c>
      <c r="U60" s="287">
        <v>0</v>
      </c>
      <c r="V60" s="287">
        <v>0</v>
      </c>
      <c r="W60" s="921"/>
      <c r="X60" s="287">
        <v>0</v>
      </c>
      <c r="Y60" s="287">
        <v>0</v>
      </c>
      <c r="Z60" s="287">
        <v>0</v>
      </c>
      <c r="AA60" s="287">
        <v>0</v>
      </c>
      <c r="AB60" s="287">
        <v>0</v>
      </c>
      <c r="AC60" s="921"/>
      <c r="AD60" s="287">
        <v>0</v>
      </c>
      <c r="AE60" s="813"/>
    </row>
    <row r="61" spans="1:31" ht="21.75" customHeight="1" thickBot="1">
      <c r="A61" s="54"/>
      <c r="B61" s="51" t="s">
        <v>75</v>
      </c>
      <c r="C61" s="1372" t="s">
        <v>328</v>
      </c>
      <c r="D61" s="1372"/>
      <c r="E61" s="287">
        <f>'3.sz.m Önk  bev.'!E59+'5.1 sz. m Köz Hiv'!D26+'5.2 sz. m ÁMK'!D29</f>
        <v>323808786</v>
      </c>
      <c r="F61" s="226">
        <f>'3.sz.m Önk  bev.'!F59+'5.1 sz. m Köz Hiv'!E26+'5.2 sz. m ÁMK'!E29</f>
        <v>323808786</v>
      </c>
      <c r="G61" s="226">
        <f>'3.sz.m Önk  bev.'!G59+'5.1 sz. m Köz Hiv'!F26+'5.2 sz. m ÁMK'!F29</f>
        <v>323475396</v>
      </c>
      <c r="H61" s="226">
        <f>'3.sz.m Önk  bev.'!H59+'5.1 sz. m Köz Hiv'!G26+'5.2 sz. m ÁMK'!G29</f>
        <v>323475396</v>
      </c>
      <c r="I61" s="226">
        <f>'3.sz.m Önk  bev.'!I59+'5.1 sz. m Köz Hiv'!H26+'5.2 sz. m ÁMK'!H29</f>
        <v>323475396</v>
      </c>
      <c r="J61" s="921">
        <f t="shared" si="3"/>
        <v>1</v>
      </c>
      <c r="K61" s="287">
        <f>'3.sz.m Önk  bev.'!L59+'5.1 sz. m Köz Hiv'!L26+'5.2 sz. m ÁMK'!L29</f>
        <v>323808786</v>
      </c>
      <c r="L61" s="287">
        <f>'3.sz.m Önk  bev.'!M59+'5.1 sz. m Köz Hiv'!M26+'5.2 sz. m ÁMK'!M29</f>
        <v>323808786</v>
      </c>
      <c r="M61" s="287">
        <f>'3.sz.m Önk  bev.'!N59+'5.1 sz. m Köz Hiv'!N26+'5.2 sz. m ÁMK'!N29</f>
        <v>323475396</v>
      </c>
      <c r="N61" s="226">
        <f>'3.sz.m Önk  bev.'!O59+'5.1 sz. m Köz Hiv'!O26+'5.2 sz. m ÁMK'!O29</f>
        <v>323475396</v>
      </c>
      <c r="O61" s="226">
        <f>'3.sz.m Önk  bev.'!P59+'5.1 sz. m Köz Hiv'!P26+'5.2 sz. m ÁMK'!P29</f>
        <v>323475396</v>
      </c>
      <c r="P61" s="921">
        <f t="shared" si="4"/>
        <v>1</v>
      </c>
      <c r="Q61" s="614">
        <f>P61/N61</f>
        <v>3.091425228520317E-09</v>
      </c>
      <c r="R61" s="287">
        <v>0</v>
      </c>
      <c r="S61" s="287">
        <v>0</v>
      </c>
      <c r="T61" s="287">
        <v>0</v>
      </c>
      <c r="U61" s="287">
        <v>0</v>
      </c>
      <c r="V61" s="287">
        <v>0</v>
      </c>
      <c r="W61" s="921"/>
      <c r="X61" s="287">
        <v>0</v>
      </c>
      <c r="Y61" s="287">
        <v>0</v>
      </c>
      <c r="Z61" s="287">
        <v>0</v>
      </c>
      <c r="AA61" s="287">
        <v>0</v>
      </c>
      <c r="AB61" s="287">
        <v>0</v>
      </c>
      <c r="AC61" s="921"/>
      <c r="AD61" s="287">
        <v>0</v>
      </c>
      <c r="AE61" s="813"/>
    </row>
    <row r="62" spans="1:31" ht="35.25" customHeight="1" thickBot="1">
      <c r="A62" s="61" t="s">
        <v>58</v>
      </c>
      <c r="B62" s="1378" t="s">
        <v>77</v>
      </c>
      <c r="C62" s="1378"/>
      <c r="D62" s="1378"/>
      <c r="E62" s="275">
        <f aca="true" t="shared" si="23" ref="E62:N62">E57+E58</f>
        <v>1026643581</v>
      </c>
      <c r="F62" s="35">
        <f t="shared" si="23"/>
        <v>1035072723</v>
      </c>
      <c r="G62" s="35">
        <f>G57+G58</f>
        <v>1039949409</v>
      </c>
      <c r="H62" s="35">
        <f>H57+H58</f>
        <v>1079771791</v>
      </c>
      <c r="I62" s="35">
        <f t="shared" si="23"/>
        <v>1028122424</v>
      </c>
      <c r="J62" s="929">
        <f t="shared" si="3"/>
        <v>0.9521664045768723</v>
      </c>
      <c r="K62" s="275">
        <f t="shared" si="23"/>
        <v>913256793</v>
      </c>
      <c r="L62" s="275">
        <f t="shared" si="23"/>
        <v>920125483</v>
      </c>
      <c r="M62" s="275">
        <f>M57+M58</f>
        <v>924335781</v>
      </c>
      <c r="N62" s="35">
        <f t="shared" si="23"/>
        <v>956142032</v>
      </c>
      <c r="O62" s="35">
        <f>O57+O58</f>
        <v>953558106</v>
      </c>
      <c r="P62" s="929">
        <f t="shared" si="4"/>
        <v>0.9972975500359553</v>
      </c>
      <c r="Q62" s="611">
        <f t="shared" si="5"/>
        <v>1.0430433101553633E-09</v>
      </c>
      <c r="R62" s="275">
        <f>R57+R58</f>
        <v>113386788</v>
      </c>
      <c r="S62" s="275">
        <f>S57+S58</f>
        <v>114947240</v>
      </c>
      <c r="T62" s="275">
        <f>T57+T58</f>
        <v>115613628</v>
      </c>
      <c r="U62" s="275">
        <f>U57+U58</f>
        <v>123629759</v>
      </c>
      <c r="V62" s="275">
        <f>V57+V58</f>
        <v>74564318</v>
      </c>
      <c r="W62" s="929">
        <f>+V62/U62</f>
        <v>0.6031259674298969</v>
      </c>
      <c r="X62" s="275">
        <f aca="true" t="shared" si="24" ref="X62:AD62">X57+X58</f>
        <v>5776781</v>
      </c>
      <c r="Y62" s="275">
        <f t="shared" si="24"/>
        <v>5776781</v>
      </c>
      <c r="Z62" s="275">
        <f>Z57+Z58</f>
        <v>5776781</v>
      </c>
      <c r="AA62" s="275">
        <f t="shared" si="24"/>
        <v>5776781</v>
      </c>
      <c r="AB62" s="275">
        <f t="shared" si="24"/>
        <v>5538912</v>
      </c>
      <c r="AC62" s="929">
        <f>+AB62/AA62</f>
        <v>0.958823261605382</v>
      </c>
      <c r="AD62" s="275">
        <f t="shared" si="24"/>
        <v>5610894</v>
      </c>
      <c r="AE62" s="813"/>
    </row>
    <row r="63" spans="1:31" ht="21.75" customHeight="1" hidden="1" thickBot="1">
      <c r="A63" s="1364" t="s">
        <v>243</v>
      </c>
      <c r="B63" s="1365"/>
      <c r="C63" s="1365"/>
      <c r="D63" s="1365"/>
      <c r="E63" s="435"/>
      <c r="F63" s="436"/>
      <c r="G63" s="436"/>
      <c r="H63" s="436"/>
      <c r="I63" s="436"/>
      <c r="J63" s="934" t="e">
        <f t="shared" si="3"/>
        <v>#DIV/0!</v>
      </c>
      <c r="K63" s="435"/>
      <c r="L63" s="435"/>
      <c r="M63" s="435"/>
      <c r="N63" s="436"/>
      <c r="O63" s="436"/>
      <c r="P63" s="934" t="e">
        <f t="shared" si="4"/>
        <v>#DIV/0!</v>
      </c>
      <c r="Q63" s="441"/>
      <c r="R63" s="435"/>
      <c r="S63" s="435"/>
      <c r="T63" s="435"/>
      <c r="U63" s="435"/>
      <c r="V63" s="435"/>
      <c r="W63" s="934" t="e">
        <f>+V63/U63</f>
        <v>#DIV/0!</v>
      </c>
      <c r="X63" s="435"/>
      <c r="Y63" s="435"/>
      <c r="Z63" s="435"/>
      <c r="AA63" s="435"/>
      <c r="AB63" s="435"/>
      <c r="AC63" s="934" t="e">
        <f>+AB63/AA63</f>
        <v>#DIV/0!</v>
      </c>
      <c r="AD63" s="435"/>
      <c r="AE63" s="813"/>
    </row>
    <row r="64" spans="1:31" ht="21.75" customHeight="1" thickBot="1">
      <c r="A64" s="1377" t="s">
        <v>7</v>
      </c>
      <c r="B64" s="1378"/>
      <c r="C64" s="1378"/>
      <c r="D64" s="1378"/>
      <c r="E64" s="306">
        <f aca="true" t="shared" si="25" ref="E64:N64">E62+E63</f>
        <v>1026643581</v>
      </c>
      <c r="F64" s="307">
        <f t="shared" si="25"/>
        <v>1035072723</v>
      </c>
      <c r="G64" s="307">
        <f t="shared" si="25"/>
        <v>1039949409</v>
      </c>
      <c r="H64" s="307">
        <f>H62+H63</f>
        <v>1079771791</v>
      </c>
      <c r="I64" s="307">
        <f t="shared" si="25"/>
        <v>1028122424</v>
      </c>
      <c r="J64" s="935">
        <f t="shared" si="3"/>
        <v>0.9521664045768723</v>
      </c>
      <c r="K64" s="306">
        <f t="shared" si="25"/>
        <v>913256793</v>
      </c>
      <c r="L64" s="306">
        <f t="shared" si="25"/>
        <v>920125483</v>
      </c>
      <c r="M64" s="306">
        <f>M62+M63</f>
        <v>924335781</v>
      </c>
      <c r="N64" s="307">
        <f t="shared" si="25"/>
        <v>956142032</v>
      </c>
      <c r="O64" s="307">
        <f>O62+O63</f>
        <v>953558106</v>
      </c>
      <c r="P64" s="935">
        <f t="shared" si="4"/>
        <v>0.9972975500359553</v>
      </c>
      <c r="Q64" s="309">
        <f t="shared" si="5"/>
        <v>1.0430433101553633E-09</v>
      </c>
      <c r="R64" s="306">
        <f>R62+R63</f>
        <v>113386788</v>
      </c>
      <c r="S64" s="306">
        <f>S62+S63</f>
        <v>114947240</v>
      </c>
      <c r="T64" s="306">
        <f>T62+T63</f>
        <v>115613628</v>
      </c>
      <c r="U64" s="306">
        <f>U62+U63</f>
        <v>123629759</v>
      </c>
      <c r="V64" s="306">
        <f>V62+V63</f>
        <v>74564318</v>
      </c>
      <c r="W64" s="935">
        <f>+V64/U64</f>
        <v>0.6031259674298969</v>
      </c>
      <c r="X64" s="306">
        <f aca="true" t="shared" si="26" ref="X64:AD64">X62+X63</f>
        <v>5776781</v>
      </c>
      <c r="Y64" s="306">
        <f t="shared" si="26"/>
        <v>5776781</v>
      </c>
      <c r="Z64" s="306">
        <f>Z62+Z63</f>
        <v>5776781</v>
      </c>
      <c r="AA64" s="306">
        <f t="shared" si="26"/>
        <v>5776781</v>
      </c>
      <c r="AB64" s="306">
        <f t="shared" si="26"/>
        <v>5538912</v>
      </c>
      <c r="AC64" s="935">
        <f>+AB64/AA64</f>
        <v>0.958823261605382</v>
      </c>
      <c r="AD64" s="306">
        <f t="shared" si="26"/>
        <v>5610894</v>
      </c>
      <c r="AE64" s="813"/>
    </row>
    <row r="65" spans="1:23" ht="21.75" customHeight="1">
      <c r="A65" s="438"/>
      <c r="B65" s="439"/>
      <c r="C65" s="439"/>
      <c r="D65" s="439"/>
      <c r="E65" s="750" t="str">
        <f>IF(K64+R64=E64," ","HIBA-nincs egyenlőség")</f>
        <v> </v>
      </c>
      <c r="F65" s="440"/>
      <c r="G65" s="440"/>
      <c r="H65" s="440"/>
      <c r="I65" s="440"/>
      <c r="J65" s="440"/>
      <c r="K65" s="440"/>
      <c r="L65" s="440"/>
      <c r="M65" s="440"/>
      <c r="N65" s="731"/>
      <c r="O65" s="731"/>
      <c r="P65" s="440"/>
      <c r="Q65" s="440"/>
      <c r="R65" s="440"/>
      <c r="S65" s="440"/>
      <c r="T65" s="440"/>
      <c r="U65" s="440"/>
      <c r="V65" s="440"/>
      <c r="W65" s="440"/>
    </row>
    <row r="66" spans="1:21" ht="21.75" customHeight="1">
      <c r="A66" s="41"/>
      <c r="B66" s="82"/>
      <c r="C66" s="82"/>
      <c r="D66" s="82"/>
      <c r="F66" s="250"/>
      <c r="K66" s="250"/>
      <c r="S66" s="250"/>
      <c r="T66" s="250"/>
      <c r="U66" s="250"/>
    </row>
    <row r="67" spans="1:21" ht="35.25" customHeight="1">
      <c r="A67" s="41"/>
      <c r="B67" s="82"/>
      <c r="C67" s="82"/>
      <c r="D67" s="82"/>
      <c r="E67" s="250"/>
      <c r="F67" s="250"/>
      <c r="G67" s="250"/>
      <c r="H67" s="250"/>
      <c r="J67" s="250"/>
      <c r="K67" s="250"/>
      <c r="M67" s="250"/>
      <c r="N67" s="250"/>
      <c r="O67" s="250"/>
      <c r="P67" s="250"/>
      <c r="Q67" s="250"/>
      <c r="S67" s="250"/>
      <c r="T67" s="250"/>
      <c r="U67" s="250"/>
    </row>
    <row r="68" spans="1:21" ht="35.25" customHeight="1">
      <c r="A68" s="41"/>
      <c r="B68" s="82"/>
      <c r="C68" s="82"/>
      <c r="D68" s="82"/>
      <c r="E68" s="250"/>
      <c r="F68" s="250"/>
      <c r="G68" s="250"/>
      <c r="H68" s="250"/>
      <c r="J68" s="250"/>
      <c r="K68" s="250"/>
      <c r="L68" s="250"/>
      <c r="N68" s="250"/>
      <c r="O68" s="250"/>
      <c r="P68" s="250"/>
      <c r="Q68" s="250"/>
      <c r="S68" s="250"/>
      <c r="T68" s="250"/>
      <c r="U68" s="250"/>
    </row>
    <row r="69" spans="5:21" ht="12.75">
      <c r="E69" s="250"/>
      <c r="F69" s="250"/>
      <c r="G69" s="250"/>
      <c r="H69" s="250"/>
      <c r="I69" s="250"/>
      <c r="J69" s="250"/>
      <c r="K69" s="250"/>
      <c r="L69" s="250"/>
      <c r="N69" s="250"/>
      <c r="O69" s="250"/>
      <c r="P69" s="250"/>
      <c r="Q69" s="250"/>
      <c r="S69" s="250"/>
      <c r="T69" s="250"/>
      <c r="U69" s="250"/>
    </row>
    <row r="70" spans="5:21" ht="12.75"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S70" s="250"/>
      <c r="T70" s="250"/>
      <c r="U70" s="250"/>
    </row>
    <row r="71" spans="5:21" ht="12.75"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S71" s="250"/>
      <c r="T71" s="250"/>
      <c r="U71" s="250"/>
    </row>
    <row r="72" spans="4:21" ht="12.75">
      <c r="D72" s="48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S72" s="250"/>
      <c r="T72" s="250"/>
      <c r="U72" s="250"/>
    </row>
    <row r="73" spans="4:21" ht="48.75" customHeight="1">
      <c r="D73" s="48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S73" s="250"/>
      <c r="T73" s="250"/>
      <c r="U73" s="250"/>
    </row>
    <row r="74" spans="4:21" ht="46.5" customHeight="1">
      <c r="D74" s="48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S74" s="250"/>
      <c r="T74" s="250"/>
      <c r="U74" s="250"/>
    </row>
    <row r="75" spans="5:21" ht="41.25" customHeight="1"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S75" s="250"/>
      <c r="T75" s="250"/>
      <c r="U75" s="250"/>
    </row>
    <row r="76" spans="5:21" ht="12.75"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S76" s="250"/>
      <c r="T76" s="250"/>
      <c r="U76" s="250"/>
    </row>
    <row r="77" spans="5:21" ht="12.75"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S77" s="250"/>
      <c r="T77" s="250"/>
      <c r="U77" s="250"/>
    </row>
    <row r="78" spans="5:21" ht="12.75"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S78" s="250"/>
      <c r="T78" s="250"/>
      <c r="U78" s="250"/>
    </row>
    <row r="79" spans="5:21" ht="12.75"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S79" s="250"/>
      <c r="T79" s="250"/>
      <c r="U79" s="250"/>
    </row>
    <row r="80" spans="5:21" ht="12.75"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S80" s="250"/>
      <c r="T80" s="250"/>
      <c r="U80" s="250"/>
    </row>
    <row r="81" spans="5:21" ht="12.75"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S81" s="250"/>
      <c r="T81" s="250"/>
      <c r="U81" s="250"/>
    </row>
    <row r="82" spans="5:21" ht="12.75"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S82" s="250"/>
      <c r="T82" s="250"/>
      <c r="U82" s="250"/>
    </row>
    <row r="83" spans="5:21" ht="12.75"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S83" s="250"/>
      <c r="T83" s="250"/>
      <c r="U83" s="250"/>
    </row>
    <row r="84" spans="5:21" ht="12.75"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S84" s="250"/>
      <c r="T84" s="250"/>
      <c r="U84" s="250"/>
    </row>
    <row r="85" spans="5:21" ht="12.75"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S85" s="250"/>
      <c r="T85" s="250"/>
      <c r="U85" s="250"/>
    </row>
    <row r="86" spans="5:21" ht="12.75"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S86" s="250"/>
      <c r="T86" s="250"/>
      <c r="U86" s="250"/>
    </row>
    <row r="87" spans="5:21" ht="12.75"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S87" s="250"/>
      <c r="T87" s="250"/>
      <c r="U87" s="250"/>
    </row>
    <row r="88" spans="5:21" ht="12.75"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S88" s="250"/>
      <c r="T88" s="250"/>
      <c r="U88" s="250"/>
    </row>
    <row r="89" spans="5:21" ht="12.75"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S89" s="250"/>
      <c r="T89" s="250"/>
      <c r="U89" s="250"/>
    </row>
    <row r="90" spans="5:21" ht="12.75"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S90" s="250"/>
      <c r="T90" s="250"/>
      <c r="U90" s="250"/>
    </row>
    <row r="91" spans="5:21" ht="12.75"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S91" s="250"/>
      <c r="T91" s="250"/>
      <c r="U91" s="250"/>
    </row>
    <row r="92" spans="5:21" ht="12.75"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S92" s="250"/>
      <c r="T92" s="250"/>
      <c r="U92" s="250"/>
    </row>
    <row r="93" spans="5:21" ht="12.75"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S93" s="250"/>
      <c r="T93" s="250"/>
      <c r="U93" s="250"/>
    </row>
    <row r="94" spans="5:21" ht="12.75"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S94" s="250"/>
      <c r="T94" s="250"/>
      <c r="U94" s="250"/>
    </row>
    <row r="95" spans="5:21" ht="12.75"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S95" s="250"/>
      <c r="T95" s="250"/>
      <c r="U95" s="250"/>
    </row>
    <row r="96" spans="5:21" ht="12.75"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S96" s="250"/>
      <c r="T96" s="250"/>
      <c r="U96" s="250"/>
    </row>
    <row r="97" spans="5:21" ht="12.75"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S97" s="250"/>
      <c r="T97" s="250"/>
      <c r="U97" s="250"/>
    </row>
    <row r="98" spans="5:21" ht="12.75"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S98" s="250"/>
      <c r="T98" s="250"/>
      <c r="U98" s="250"/>
    </row>
    <row r="99" spans="5:21" ht="12.75"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S99" s="250"/>
      <c r="T99" s="250"/>
      <c r="U99" s="250"/>
    </row>
    <row r="100" spans="5:21" ht="12.75"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S100" s="250"/>
      <c r="T100" s="250"/>
      <c r="U100" s="250"/>
    </row>
    <row r="101" spans="5:21" ht="12.75"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S101" s="250"/>
      <c r="T101" s="250"/>
      <c r="U101" s="250"/>
    </row>
    <row r="102" spans="5:21" ht="12.75"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S102" s="250"/>
      <c r="T102" s="250"/>
      <c r="U102" s="250"/>
    </row>
    <row r="103" spans="5:21" ht="12.75"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S103" s="250"/>
      <c r="T103" s="250"/>
      <c r="U103" s="250"/>
    </row>
    <row r="104" spans="5:21" ht="12.75"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S104" s="250"/>
      <c r="T104" s="250"/>
      <c r="U104" s="250"/>
    </row>
    <row r="105" spans="5:21" ht="12.75"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S105" s="250"/>
      <c r="T105" s="250"/>
      <c r="U105" s="250"/>
    </row>
    <row r="106" spans="5:21" ht="12.75"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S106" s="250"/>
      <c r="T106" s="250"/>
      <c r="U106" s="250"/>
    </row>
    <row r="107" spans="5:21" ht="12.75"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S107" s="250"/>
      <c r="T107" s="250"/>
      <c r="U107" s="250"/>
    </row>
    <row r="108" spans="5:21" ht="12.75"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S108" s="250"/>
      <c r="T108" s="250"/>
      <c r="U108" s="250"/>
    </row>
    <row r="109" spans="5:21" ht="12.75"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S109" s="250"/>
      <c r="T109" s="250"/>
      <c r="U109" s="250"/>
    </row>
    <row r="110" spans="5:21" ht="12.75"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S110" s="250"/>
      <c r="T110" s="250"/>
      <c r="U110" s="250"/>
    </row>
    <row r="111" spans="5:21" ht="12.75"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S111" s="250"/>
      <c r="T111" s="250"/>
      <c r="U111" s="250"/>
    </row>
    <row r="112" spans="5:21" ht="12.75"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S112" s="250"/>
      <c r="T112" s="250"/>
      <c r="U112" s="250"/>
    </row>
    <row r="113" spans="5:21" ht="12.75"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S113" s="250"/>
      <c r="T113" s="250"/>
      <c r="U113" s="250"/>
    </row>
  </sheetData>
  <sheetProtection/>
  <mergeCells count="49">
    <mergeCell ref="A2:R2"/>
    <mergeCell ref="A4:C4"/>
    <mergeCell ref="B6:D6"/>
    <mergeCell ref="B7:D7"/>
    <mergeCell ref="E4:J4"/>
    <mergeCell ref="K4:Q4"/>
    <mergeCell ref="C13:D13"/>
    <mergeCell ref="C32:D32"/>
    <mergeCell ref="C16:D16"/>
    <mergeCell ref="R4:W4"/>
    <mergeCell ref="C25:D25"/>
    <mergeCell ref="C17:D17"/>
    <mergeCell ref="C20:D20"/>
    <mergeCell ref="C24:D24"/>
    <mergeCell ref="A64:D64"/>
    <mergeCell ref="B62:D62"/>
    <mergeCell ref="C61:D61"/>
    <mergeCell ref="C52:D52"/>
    <mergeCell ref="B57:D57"/>
    <mergeCell ref="C60:D60"/>
    <mergeCell ref="C59:D59"/>
    <mergeCell ref="O1:AB1"/>
    <mergeCell ref="C31:D31"/>
    <mergeCell ref="C49:D49"/>
    <mergeCell ref="C45:D45"/>
    <mergeCell ref="C38:D38"/>
    <mergeCell ref="B21:D21"/>
    <mergeCell ref="C22:D22"/>
    <mergeCell ref="C23:D23"/>
    <mergeCell ref="C8:D8"/>
    <mergeCell ref="C29:D29"/>
    <mergeCell ref="X4:AD4"/>
    <mergeCell ref="B54:D54"/>
    <mergeCell ref="C55:D55"/>
    <mergeCell ref="C56:D56"/>
    <mergeCell ref="C30:D30"/>
    <mergeCell ref="C53:D53"/>
    <mergeCell ref="C36:D36"/>
    <mergeCell ref="B51:D51"/>
    <mergeCell ref="C39:D39"/>
    <mergeCell ref="C44:D44"/>
    <mergeCell ref="C37:D37"/>
    <mergeCell ref="C35:D35"/>
    <mergeCell ref="C33:D33"/>
    <mergeCell ref="A63:D63"/>
    <mergeCell ref="C50:D50"/>
    <mergeCell ref="B58:D58"/>
    <mergeCell ref="B34:D34"/>
    <mergeCell ref="B43:D4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22" r:id="rId1"/>
  <colBreaks count="1" manualBreakCount="1">
    <brk id="27" max="6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="70" zoomScaleNormal="70" workbookViewId="0" topLeftCell="A4">
      <selection activeCell="B32" sqref="B32:C33"/>
    </sheetView>
  </sheetViews>
  <sheetFormatPr defaultColWidth="9.140625" defaultRowHeight="12.75"/>
  <cols>
    <col min="1" max="1" width="9.140625" style="8" customWidth="1"/>
    <col min="2" max="2" width="12.00390625" style="8" customWidth="1"/>
    <col min="3" max="3" width="34.7109375" style="8" customWidth="1"/>
    <col min="4" max="4" width="14.28125" style="501" customWidth="1"/>
    <col min="5" max="6" width="15.28125" style="501" hidden="1" customWidth="1"/>
    <col min="7" max="7" width="15.7109375" style="501" customWidth="1"/>
    <col min="8" max="8" width="16.140625" style="501" customWidth="1"/>
    <col min="9" max="9" width="15.57421875" style="501" customWidth="1"/>
    <col min="10" max="10" width="9.7109375" style="501" hidden="1" customWidth="1"/>
    <col min="11" max="11" width="14.140625" style="295" customWidth="1"/>
    <col min="12" max="12" width="13.8515625" style="295" hidden="1" customWidth="1"/>
    <col min="13" max="13" width="15.421875" style="295" hidden="1" customWidth="1"/>
    <col min="14" max="14" width="16.57421875" style="295" customWidth="1"/>
    <col min="15" max="15" width="12.7109375" style="295" customWidth="1"/>
    <col min="16" max="16" width="13.7109375" style="295" customWidth="1"/>
    <col min="17" max="17" width="10.421875" style="295" hidden="1" customWidth="1"/>
    <col min="18" max="18" width="13.00390625" style="295" customWidth="1"/>
    <col min="19" max="19" width="13.7109375" style="295" hidden="1" customWidth="1"/>
    <col min="20" max="20" width="12.421875" style="8" hidden="1" customWidth="1"/>
    <col min="21" max="21" width="12.7109375" style="8" customWidth="1"/>
    <col min="22" max="22" width="11.8515625" style="8" customWidth="1"/>
    <col min="23" max="23" width="12.28125" style="8" customWidth="1"/>
    <col min="24" max="24" width="1.7109375" style="8" hidden="1" customWidth="1"/>
    <col min="25" max="16384" width="9.140625" style="8" customWidth="1"/>
  </cols>
  <sheetData>
    <row r="1" spans="4:23" ht="12.75">
      <c r="D1" s="496"/>
      <c r="E1" s="496"/>
      <c r="F1" s="496"/>
      <c r="G1" s="496"/>
      <c r="H1" s="496"/>
      <c r="I1" s="496"/>
      <c r="J1" s="496"/>
      <c r="K1" s="1466" t="s">
        <v>911</v>
      </c>
      <c r="L1" s="1466"/>
      <c r="M1" s="1466"/>
      <c r="N1" s="1466"/>
      <c r="O1" s="1466"/>
      <c r="P1" s="1466"/>
      <c r="Q1" s="1466"/>
      <c r="R1" s="1466"/>
      <c r="S1" s="1466"/>
      <c r="T1" s="1466"/>
      <c r="U1" s="1466"/>
      <c r="V1" s="1466"/>
      <c r="W1" s="1466"/>
    </row>
    <row r="2" spans="1:19" ht="16.5" customHeight="1">
      <c r="A2" s="1467" t="s">
        <v>363</v>
      </c>
      <c r="B2" s="1467"/>
      <c r="C2" s="1467"/>
      <c r="D2" s="1467"/>
      <c r="E2" s="1467"/>
      <c r="F2" s="1467"/>
      <c r="G2" s="1467"/>
      <c r="H2" s="1467"/>
      <c r="I2" s="1467"/>
      <c r="J2" s="1467"/>
      <c r="K2" s="1467"/>
      <c r="L2" s="1467"/>
      <c r="M2" s="1467"/>
      <c r="N2" s="1467"/>
      <c r="O2" s="1467"/>
      <c r="P2" s="1467"/>
      <c r="Q2" s="1467"/>
      <c r="R2" s="1467"/>
      <c r="S2" s="497"/>
    </row>
    <row r="3" spans="1:19" ht="15" customHeight="1">
      <c r="A3" s="1468" t="s">
        <v>547</v>
      </c>
      <c r="B3" s="1468"/>
      <c r="C3" s="1468"/>
      <c r="D3" s="1468"/>
      <c r="E3" s="1468"/>
      <c r="F3" s="1468"/>
      <c r="G3" s="1468"/>
      <c r="H3" s="1468"/>
      <c r="I3" s="1468"/>
      <c r="J3" s="1468"/>
      <c r="K3" s="1468"/>
      <c r="L3" s="1468"/>
      <c r="M3" s="1468"/>
      <c r="N3" s="1468"/>
      <c r="O3" s="1468"/>
      <c r="P3" s="1468"/>
      <c r="Q3" s="1468"/>
      <c r="R3" s="1468"/>
      <c r="S3" s="498"/>
    </row>
    <row r="4" spans="1:19" ht="15" customHeight="1">
      <c r="A4" s="1469" t="s">
        <v>364</v>
      </c>
      <c r="B4" s="1469"/>
      <c r="C4" s="1469"/>
      <c r="D4" s="1469"/>
      <c r="E4" s="1469"/>
      <c r="F4" s="1469"/>
      <c r="G4" s="1469"/>
      <c r="H4" s="1469"/>
      <c r="I4" s="1469"/>
      <c r="J4" s="1469"/>
      <c r="K4" s="1469"/>
      <c r="L4" s="1469"/>
      <c r="M4" s="1469"/>
      <c r="N4" s="1469"/>
      <c r="O4" s="1469"/>
      <c r="P4" s="1469"/>
      <c r="Q4" s="1469"/>
      <c r="R4" s="1469"/>
      <c r="S4" s="499"/>
    </row>
    <row r="5" spans="2:23" ht="13.5" thickBot="1">
      <c r="B5" s="500"/>
      <c r="C5" s="500"/>
      <c r="R5" s="1471" t="s">
        <v>474</v>
      </c>
      <c r="S5" s="1471"/>
      <c r="T5" s="1471"/>
      <c r="U5" s="1471"/>
      <c r="V5" s="1471"/>
      <c r="W5" s="1471"/>
    </row>
    <row r="6" spans="1:25" s="504" customFormat="1" ht="41.25" customHeight="1" thickBot="1">
      <c r="A6" s="502" t="s">
        <v>6</v>
      </c>
      <c r="B6" s="1470" t="s">
        <v>4</v>
      </c>
      <c r="C6" s="1470"/>
      <c r="D6" s="1472" t="s">
        <v>5</v>
      </c>
      <c r="E6" s="1473"/>
      <c r="F6" s="1473"/>
      <c r="G6" s="1473"/>
      <c r="H6" s="1473"/>
      <c r="I6" s="1473"/>
      <c r="J6" s="1474"/>
      <c r="K6" s="1472" t="s">
        <v>365</v>
      </c>
      <c r="L6" s="1473"/>
      <c r="M6" s="1473"/>
      <c r="N6" s="1473"/>
      <c r="O6" s="1473"/>
      <c r="P6" s="1473"/>
      <c r="Q6" s="1474"/>
      <c r="R6" s="1472" t="s">
        <v>366</v>
      </c>
      <c r="S6" s="1473"/>
      <c r="T6" s="1473"/>
      <c r="U6" s="1473"/>
      <c r="V6" s="1473"/>
      <c r="W6" s="1473"/>
      <c r="X6" s="1474"/>
      <c r="Y6" s="503"/>
    </row>
    <row r="7" spans="1:24" s="504" customFormat="1" ht="41.25" customHeight="1" thickBot="1">
      <c r="A7" s="26"/>
      <c r="B7" s="505"/>
      <c r="C7" s="505"/>
      <c r="D7" s="506" t="s">
        <v>65</v>
      </c>
      <c r="E7" s="507" t="s">
        <v>227</v>
      </c>
      <c r="F7" s="507" t="s">
        <v>230</v>
      </c>
      <c r="G7" s="507" t="s">
        <v>232</v>
      </c>
      <c r="H7" s="507" t="s">
        <v>235</v>
      </c>
      <c r="I7" s="507" t="s">
        <v>236</v>
      </c>
      <c r="J7" s="508" t="s">
        <v>349</v>
      </c>
      <c r="K7" s="506" t="s">
        <v>65</v>
      </c>
      <c r="L7" s="507" t="s">
        <v>227</v>
      </c>
      <c r="M7" s="507" t="s">
        <v>230</v>
      </c>
      <c r="N7" s="507" t="s">
        <v>232</v>
      </c>
      <c r="O7" s="507" t="s">
        <v>235</v>
      </c>
      <c r="P7" s="507" t="s">
        <v>236</v>
      </c>
      <c r="Q7" s="508" t="s">
        <v>349</v>
      </c>
      <c r="R7" s="506" t="s">
        <v>65</v>
      </c>
      <c r="S7" s="507" t="s">
        <v>227</v>
      </c>
      <c r="T7" s="507" t="s">
        <v>230</v>
      </c>
      <c r="U7" s="507" t="s">
        <v>232</v>
      </c>
      <c r="V7" s="507" t="s">
        <v>235</v>
      </c>
      <c r="W7" s="507" t="s">
        <v>236</v>
      </c>
      <c r="X7" s="508" t="s">
        <v>349</v>
      </c>
    </row>
    <row r="8" spans="1:24" ht="27.75" customHeight="1">
      <c r="A8" s="27">
        <v>1</v>
      </c>
      <c r="B8" s="1465" t="s">
        <v>367</v>
      </c>
      <c r="C8" s="1465"/>
      <c r="D8" s="509">
        <v>807200</v>
      </c>
      <c r="E8" s="509">
        <v>807200</v>
      </c>
      <c r="F8" s="509">
        <v>807200</v>
      </c>
      <c r="G8" s="509">
        <v>703100</v>
      </c>
      <c r="H8" s="509">
        <v>521602</v>
      </c>
      <c r="I8" s="957">
        <f>+H8/G8</f>
        <v>0.7418603328118333</v>
      </c>
      <c r="J8" s="511"/>
      <c r="K8" s="509">
        <v>807200</v>
      </c>
      <c r="L8" s="509">
        <v>807200</v>
      </c>
      <c r="M8" s="509">
        <v>807200</v>
      </c>
      <c r="N8" s="509">
        <v>703100</v>
      </c>
      <c r="O8" s="509">
        <v>521602</v>
      </c>
      <c r="P8" s="957">
        <f>+O8/N8</f>
        <v>0.7418603328118333</v>
      </c>
      <c r="Q8" s="511"/>
      <c r="R8" s="509"/>
      <c r="S8" s="510"/>
      <c r="T8" s="510"/>
      <c r="U8" s="510"/>
      <c r="V8" s="510"/>
      <c r="W8" s="510"/>
      <c r="X8" s="512"/>
    </row>
    <row r="9" spans="1:24" ht="27.75" customHeight="1">
      <c r="A9" s="27">
        <v>2</v>
      </c>
      <c r="B9" s="1462" t="s">
        <v>488</v>
      </c>
      <c r="C9" s="1462"/>
      <c r="D9" s="514">
        <v>122133</v>
      </c>
      <c r="E9" s="514">
        <v>122133</v>
      </c>
      <c r="F9" s="514">
        <v>122133</v>
      </c>
      <c r="G9" s="514">
        <v>122133</v>
      </c>
      <c r="H9" s="956">
        <v>0</v>
      </c>
      <c r="I9" s="958">
        <f aca="true" t="shared" si="0" ref="I9:I37">+H9/G9</f>
        <v>0</v>
      </c>
      <c r="J9" s="516"/>
      <c r="K9" s="514">
        <v>122133</v>
      </c>
      <c r="L9" s="514">
        <v>122133</v>
      </c>
      <c r="M9" s="514">
        <v>122133</v>
      </c>
      <c r="N9" s="514">
        <v>122133</v>
      </c>
      <c r="O9" s="956">
        <v>0</v>
      </c>
      <c r="P9" s="958">
        <f>+O9/N9</f>
        <v>0</v>
      </c>
      <c r="Q9" s="516"/>
      <c r="R9" s="514"/>
      <c r="S9" s="515"/>
      <c r="T9" s="515"/>
      <c r="U9" s="515"/>
      <c r="V9" s="515"/>
      <c r="W9" s="515"/>
      <c r="X9" s="517"/>
    </row>
    <row r="10" spans="1:24" ht="27.75" customHeight="1">
      <c r="A10" s="27">
        <v>3</v>
      </c>
      <c r="B10" s="1462" t="s">
        <v>368</v>
      </c>
      <c r="C10" s="1462"/>
      <c r="D10" s="514">
        <v>2000000</v>
      </c>
      <c r="E10" s="514">
        <v>2000000</v>
      </c>
      <c r="F10" s="514">
        <v>6143043</v>
      </c>
      <c r="G10" s="514">
        <v>6143043</v>
      </c>
      <c r="H10" s="514">
        <v>6143043</v>
      </c>
      <c r="I10" s="958">
        <f t="shared" si="0"/>
        <v>1</v>
      </c>
      <c r="J10" s="516"/>
      <c r="K10" s="514">
        <v>2000000</v>
      </c>
      <c r="L10" s="514">
        <v>2000000</v>
      </c>
      <c r="M10" s="514">
        <v>6143043</v>
      </c>
      <c r="N10" s="514">
        <v>6143043</v>
      </c>
      <c r="O10" s="514">
        <v>6143043</v>
      </c>
      <c r="P10" s="958">
        <f>+O10/N10</f>
        <v>1</v>
      </c>
      <c r="Q10" s="516"/>
      <c r="R10" s="514"/>
      <c r="S10" s="515"/>
      <c r="T10" s="515"/>
      <c r="U10" s="515"/>
      <c r="V10" s="515"/>
      <c r="W10" s="515"/>
      <c r="X10" s="517"/>
    </row>
    <row r="11" spans="1:24" ht="27.75" customHeight="1">
      <c r="A11" s="27">
        <v>4</v>
      </c>
      <c r="B11" s="1462" t="s">
        <v>369</v>
      </c>
      <c r="C11" s="1462"/>
      <c r="D11" s="514">
        <v>1879060</v>
      </c>
      <c r="E11" s="514">
        <v>1879060</v>
      </c>
      <c r="F11" s="514">
        <v>1879060</v>
      </c>
      <c r="G11" s="514">
        <v>1983160</v>
      </c>
      <c r="H11" s="514">
        <v>774901</v>
      </c>
      <c r="I11" s="958">
        <f t="shared" si="0"/>
        <v>0.39074053530728736</v>
      </c>
      <c r="J11" s="516"/>
      <c r="K11" s="514"/>
      <c r="L11" s="514"/>
      <c r="M11" s="514"/>
      <c r="N11" s="514"/>
      <c r="O11" s="514"/>
      <c r="P11" s="958"/>
      <c r="Q11" s="516"/>
      <c r="R11" s="514">
        <v>1879060</v>
      </c>
      <c r="S11" s="514">
        <v>1879060</v>
      </c>
      <c r="T11" s="514">
        <v>1879060</v>
      </c>
      <c r="U11" s="514">
        <v>1983160</v>
      </c>
      <c r="V11" s="514">
        <v>774901</v>
      </c>
      <c r="W11" s="958">
        <f>+V11/U11</f>
        <v>0.39074053530728736</v>
      </c>
      <c r="X11" s="516">
        <f>V11/U11</f>
        <v>0.39074053530728736</v>
      </c>
    </row>
    <row r="12" spans="1:24" ht="27.75" customHeight="1">
      <c r="A12" s="27">
        <v>5</v>
      </c>
      <c r="B12" s="1462" t="s">
        <v>370</v>
      </c>
      <c r="C12" s="1462"/>
      <c r="D12" s="514">
        <v>6619535</v>
      </c>
      <c r="E12" s="514">
        <v>6619535</v>
      </c>
      <c r="F12" s="514">
        <v>6619535</v>
      </c>
      <c r="G12" s="514">
        <v>7223117</v>
      </c>
      <c r="H12" s="514">
        <v>7091830</v>
      </c>
      <c r="I12" s="958">
        <f t="shared" si="0"/>
        <v>0.9818240518601595</v>
      </c>
      <c r="J12" s="516"/>
      <c r="K12" s="514">
        <v>6619535</v>
      </c>
      <c r="L12" s="514">
        <v>6619535</v>
      </c>
      <c r="M12" s="514">
        <v>6619535</v>
      </c>
      <c r="N12" s="514">
        <v>7223117</v>
      </c>
      <c r="O12" s="514">
        <v>7091830</v>
      </c>
      <c r="P12" s="958">
        <f>+O12/N12</f>
        <v>0.9818240518601595</v>
      </c>
      <c r="Q12" s="516"/>
      <c r="R12" s="514"/>
      <c r="S12" s="515"/>
      <c r="T12" s="515"/>
      <c r="U12" s="515"/>
      <c r="V12" s="515"/>
      <c r="W12" s="515"/>
      <c r="X12" s="517"/>
    </row>
    <row r="13" spans="1:24" ht="27.75" customHeight="1">
      <c r="A13" s="27">
        <v>6</v>
      </c>
      <c r="B13" s="1462" t="s">
        <v>371</v>
      </c>
      <c r="C13" s="1462"/>
      <c r="D13" s="514">
        <v>36633562</v>
      </c>
      <c r="E13" s="514">
        <v>37493002</v>
      </c>
      <c r="F13" s="514">
        <v>36223002</v>
      </c>
      <c r="G13" s="514">
        <v>89049583</v>
      </c>
      <c r="H13" s="514">
        <v>23944470</v>
      </c>
      <c r="I13" s="958">
        <f t="shared" si="0"/>
        <v>0.2688891872744648</v>
      </c>
      <c r="J13" s="516"/>
      <c r="K13" s="514">
        <v>36633562</v>
      </c>
      <c r="L13" s="514">
        <v>37493002</v>
      </c>
      <c r="M13" s="514">
        <v>36223002</v>
      </c>
      <c r="N13" s="514">
        <v>89049583</v>
      </c>
      <c r="O13" s="514">
        <v>23944470</v>
      </c>
      <c r="P13" s="958">
        <f>+O13/N13</f>
        <v>0.2688891872744648</v>
      </c>
      <c r="Q13" s="516"/>
      <c r="R13" s="514"/>
      <c r="S13" s="515"/>
      <c r="T13" s="515"/>
      <c r="U13" s="515"/>
      <c r="V13" s="515"/>
      <c r="W13" s="515"/>
      <c r="X13" s="517"/>
    </row>
    <row r="14" spans="1:24" ht="27.75" customHeight="1">
      <c r="A14" s="27">
        <v>7</v>
      </c>
      <c r="B14" s="513" t="s">
        <v>372</v>
      </c>
      <c r="C14" s="513"/>
      <c r="D14" s="514">
        <v>268100</v>
      </c>
      <c r="E14" s="514">
        <v>268100</v>
      </c>
      <c r="F14" s="514">
        <v>268100</v>
      </c>
      <c r="G14" s="514">
        <v>0</v>
      </c>
      <c r="H14" s="514">
        <v>0</v>
      </c>
      <c r="I14" s="958"/>
      <c r="J14" s="516"/>
      <c r="K14" s="514">
        <v>268100</v>
      </c>
      <c r="L14" s="514">
        <v>268100</v>
      </c>
      <c r="M14" s="514">
        <v>268100</v>
      </c>
      <c r="N14" s="514">
        <v>0</v>
      </c>
      <c r="O14" s="514">
        <v>0</v>
      </c>
      <c r="P14" s="958"/>
      <c r="Q14" s="516"/>
      <c r="R14" s="514"/>
      <c r="S14" s="515"/>
      <c r="T14" s="515"/>
      <c r="U14" s="515"/>
      <c r="V14" s="515"/>
      <c r="W14" s="515"/>
      <c r="X14" s="517"/>
    </row>
    <row r="15" spans="1:24" ht="27.75" customHeight="1">
      <c r="A15" s="27">
        <v>8</v>
      </c>
      <c r="B15" s="1462" t="s">
        <v>373</v>
      </c>
      <c r="C15" s="1462"/>
      <c r="D15" s="514">
        <v>2929091</v>
      </c>
      <c r="E15" s="514">
        <v>2929091</v>
      </c>
      <c r="F15" s="514">
        <v>2929091</v>
      </c>
      <c r="G15" s="514">
        <v>2929091</v>
      </c>
      <c r="H15" s="514">
        <v>1250122</v>
      </c>
      <c r="I15" s="958">
        <f t="shared" si="0"/>
        <v>0.4267952071137428</v>
      </c>
      <c r="J15" s="516"/>
      <c r="K15" s="514">
        <v>2929091</v>
      </c>
      <c r="L15" s="514">
        <v>2929091</v>
      </c>
      <c r="M15" s="514">
        <v>2929091</v>
      </c>
      <c r="N15" s="514">
        <v>2929091</v>
      </c>
      <c r="O15" s="514">
        <v>1250122</v>
      </c>
      <c r="P15" s="958">
        <f aca="true" t="shared" si="1" ref="P15:P23">+O15/N15</f>
        <v>0.4267952071137428</v>
      </c>
      <c r="Q15" s="516"/>
      <c r="R15" s="514"/>
      <c r="S15" s="515"/>
      <c r="T15" s="515"/>
      <c r="U15" s="515"/>
      <c r="V15" s="515"/>
      <c r="W15" s="515"/>
      <c r="X15" s="517"/>
    </row>
    <row r="16" spans="1:24" ht="27.75" customHeight="1">
      <c r="A16" s="27">
        <v>9</v>
      </c>
      <c r="B16" s="1462" t="s">
        <v>374</v>
      </c>
      <c r="C16" s="1462"/>
      <c r="D16" s="514">
        <v>193200</v>
      </c>
      <c r="E16" s="514">
        <v>193200</v>
      </c>
      <c r="F16" s="514">
        <v>193200</v>
      </c>
      <c r="G16" s="514">
        <v>354950</v>
      </c>
      <c r="H16" s="514">
        <v>354950</v>
      </c>
      <c r="I16" s="958">
        <f t="shared" si="0"/>
        <v>1</v>
      </c>
      <c r="J16" s="516"/>
      <c r="K16" s="514">
        <v>193200</v>
      </c>
      <c r="L16" s="514">
        <v>193200</v>
      </c>
      <c r="M16" s="514">
        <v>193200</v>
      </c>
      <c r="N16" s="514">
        <v>354950</v>
      </c>
      <c r="O16" s="514">
        <v>354950</v>
      </c>
      <c r="P16" s="958">
        <f t="shared" si="1"/>
        <v>1</v>
      </c>
      <c r="Q16" s="516"/>
      <c r="R16" s="514"/>
      <c r="S16" s="515"/>
      <c r="T16" s="515"/>
      <c r="U16" s="515"/>
      <c r="V16" s="515"/>
      <c r="W16" s="515"/>
      <c r="X16" s="517"/>
    </row>
    <row r="17" spans="1:24" ht="36" customHeight="1" hidden="1">
      <c r="A17" s="27">
        <v>10</v>
      </c>
      <c r="B17" s="1463" t="s">
        <v>375</v>
      </c>
      <c r="C17" s="1464"/>
      <c r="D17" s="514"/>
      <c r="E17" s="514"/>
      <c r="F17" s="514"/>
      <c r="G17" s="514"/>
      <c r="H17" s="514"/>
      <c r="I17" s="958" t="e">
        <f t="shared" si="0"/>
        <v>#DIV/0!</v>
      </c>
      <c r="J17" s="516"/>
      <c r="K17" s="514"/>
      <c r="L17" s="514"/>
      <c r="M17" s="514"/>
      <c r="N17" s="514"/>
      <c r="O17" s="514"/>
      <c r="P17" s="958" t="e">
        <f t="shared" si="1"/>
        <v>#DIV/0!</v>
      </c>
      <c r="Q17" s="516"/>
      <c r="R17" s="514"/>
      <c r="S17" s="515"/>
      <c r="T17" s="515"/>
      <c r="U17" s="515"/>
      <c r="V17" s="515"/>
      <c r="W17" s="515"/>
      <c r="X17" s="517"/>
    </row>
    <row r="18" spans="1:24" ht="27.75" customHeight="1">
      <c r="A18" s="27">
        <v>10</v>
      </c>
      <c r="B18" s="1461" t="s">
        <v>376</v>
      </c>
      <c r="C18" s="1461"/>
      <c r="D18" s="518">
        <v>1206500</v>
      </c>
      <c r="E18" s="518">
        <v>1206500</v>
      </c>
      <c r="F18" s="518">
        <v>1206500</v>
      </c>
      <c r="G18" s="518">
        <v>2306500</v>
      </c>
      <c r="H18" s="518">
        <v>1836369</v>
      </c>
      <c r="I18" s="959">
        <f t="shared" si="0"/>
        <v>0.7961712551484934</v>
      </c>
      <c r="J18" s="516"/>
      <c r="K18" s="518">
        <v>1206500</v>
      </c>
      <c r="L18" s="518">
        <v>1206500</v>
      </c>
      <c r="M18" s="518">
        <v>1206500</v>
      </c>
      <c r="N18" s="518">
        <v>2306500</v>
      </c>
      <c r="O18" s="518">
        <v>1836369</v>
      </c>
      <c r="P18" s="959">
        <f t="shared" si="1"/>
        <v>0.7961712551484934</v>
      </c>
      <c r="Q18" s="516"/>
      <c r="R18" s="518"/>
      <c r="S18" s="519"/>
      <c r="T18" s="519"/>
      <c r="U18" s="519"/>
      <c r="V18" s="519"/>
      <c r="W18" s="519"/>
      <c r="X18" s="520"/>
    </row>
    <row r="19" spans="1:24" ht="27.75" customHeight="1">
      <c r="A19" s="27">
        <v>11</v>
      </c>
      <c r="B19" s="1457" t="s">
        <v>473</v>
      </c>
      <c r="C19" s="1461"/>
      <c r="D19" s="518">
        <v>91845</v>
      </c>
      <c r="E19" s="518">
        <v>91845</v>
      </c>
      <c r="F19" s="518">
        <v>91845</v>
      </c>
      <c r="G19" s="518">
        <v>91845</v>
      </c>
      <c r="H19" s="518">
        <v>18154</v>
      </c>
      <c r="I19" s="959">
        <f t="shared" si="0"/>
        <v>0.19765909956992758</v>
      </c>
      <c r="J19" s="516"/>
      <c r="K19" s="518">
        <v>91845</v>
      </c>
      <c r="L19" s="518">
        <v>91845</v>
      </c>
      <c r="M19" s="518">
        <v>91845</v>
      </c>
      <c r="N19" s="518">
        <v>91845</v>
      </c>
      <c r="O19" s="518">
        <v>18154</v>
      </c>
      <c r="P19" s="959">
        <f t="shared" si="1"/>
        <v>0.19765909956992758</v>
      </c>
      <c r="Q19" s="516"/>
      <c r="R19" s="518"/>
      <c r="S19" s="519"/>
      <c r="T19" s="519"/>
      <c r="U19" s="519"/>
      <c r="V19" s="519"/>
      <c r="W19" s="519"/>
      <c r="X19" s="520"/>
    </row>
    <row r="20" spans="1:24" ht="27.75" customHeight="1" hidden="1">
      <c r="A20" s="27">
        <v>12</v>
      </c>
      <c r="B20" s="1457" t="s">
        <v>513</v>
      </c>
      <c r="C20" s="1461"/>
      <c r="D20" s="518"/>
      <c r="E20" s="518"/>
      <c r="F20" s="518"/>
      <c r="G20" s="518"/>
      <c r="H20" s="518"/>
      <c r="I20" s="959" t="e">
        <f t="shared" si="0"/>
        <v>#DIV/0!</v>
      </c>
      <c r="J20" s="516"/>
      <c r="K20" s="518"/>
      <c r="L20" s="518"/>
      <c r="M20" s="518"/>
      <c r="N20" s="518"/>
      <c r="O20" s="518"/>
      <c r="P20" s="959" t="e">
        <f t="shared" si="1"/>
        <v>#DIV/0!</v>
      </c>
      <c r="Q20" s="516"/>
      <c r="R20" s="518"/>
      <c r="S20" s="519"/>
      <c r="T20" s="519"/>
      <c r="U20" s="519"/>
      <c r="V20" s="519"/>
      <c r="W20" s="519"/>
      <c r="X20" s="520"/>
    </row>
    <row r="21" spans="1:24" ht="27.75" customHeight="1">
      <c r="A21" s="27">
        <v>12</v>
      </c>
      <c r="B21" s="1457" t="s">
        <v>589</v>
      </c>
      <c r="C21" s="1461"/>
      <c r="D21" s="518">
        <v>45662521</v>
      </c>
      <c r="E21" s="518">
        <v>45662521</v>
      </c>
      <c r="F21" s="518">
        <v>45662521</v>
      </c>
      <c r="G21" s="518">
        <v>45662521</v>
      </c>
      <c r="H21" s="518">
        <v>1933570</v>
      </c>
      <c r="I21" s="959">
        <f t="shared" si="0"/>
        <v>0.042344793008690866</v>
      </c>
      <c r="J21" s="516"/>
      <c r="K21" s="518"/>
      <c r="L21" s="518"/>
      <c r="M21" s="518"/>
      <c r="N21" s="518"/>
      <c r="O21" s="518"/>
      <c r="P21" s="959"/>
      <c r="Q21" s="516"/>
      <c r="R21" s="518">
        <v>45662521</v>
      </c>
      <c r="S21" s="518">
        <v>45662521</v>
      </c>
      <c r="T21" s="518">
        <v>45662521</v>
      </c>
      <c r="U21" s="518">
        <v>45662521</v>
      </c>
      <c r="V21" s="518">
        <v>1933570</v>
      </c>
      <c r="W21" s="959">
        <f>+V21/U21</f>
        <v>0.042344793008690866</v>
      </c>
      <c r="X21" s="520"/>
    </row>
    <row r="22" spans="1:24" ht="27.75" customHeight="1">
      <c r="A22" s="27">
        <v>13</v>
      </c>
      <c r="B22" s="1457" t="s">
        <v>514</v>
      </c>
      <c r="C22" s="1461"/>
      <c r="D22" s="518">
        <v>1133595</v>
      </c>
      <c r="E22" s="518">
        <v>1133595</v>
      </c>
      <c r="F22" s="518">
        <v>1133595</v>
      </c>
      <c r="G22" s="518">
        <v>1333595</v>
      </c>
      <c r="H22" s="518">
        <v>1169428</v>
      </c>
      <c r="I22" s="959">
        <f t="shared" si="0"/>
        <v>0.8768989085891894</v>
      </c>
      <c r="J22" s="516"/>
      <c r="K22" s="518">
        <v>1133595</v>
      </c>
      <c r="L22" s="518">
        <v>1133595</v>
      </c>
      <c r="M22" s="518">
        <v>1133595</v>
      </c>
      <c r="N22" s="518">
        <v>1333595</v>
      </c>
      <c r="O22" s="518">
        <v>1169428</v>
      </c>
      <c r="P22" s="959">
        <f t="shared" si="1"/>
        <v>0.8768989085891894</v>
      </c>
      <c r="Q22" s="516"/>
      <c r="R22" s="518"/>
      <c r="S22" s="519"/>
      <c r="T22" s="519"/>
      <c r="U22" s="519"/>
      <c r="V22" s="519"/>
      <c r="W22" s="519"/>
      <c r="X22" s="520"/>
    </row>
    <row r="23" spans="1:24" ht="27.75" customHeight="1" hidden="1">
      <c r="A23" s="27">
        <v>15</v>
      </c>
      <c r="B23" s="1457" t="s">
        <v>538</v>
      </c>
      <c r="C23" s="1461"/>
      <c r="D23" s="518"/>
      <c r="E23" s="518"/>
      <c r="F23" s="518"/>
      <c r="G23" s="518"/>
      <c r="H23" s="518"/>
      <c r="I23" s="959" t="e">
        <f t="shared" si="0"/>
        <v>#DIV/0!</v>
      </c>
      <c r="J23" s="516"/>
      <c r="K23" s="518"/>
      <c r="L23" s="518"/>
      <c r="M23" s="518"/>
      <c r="N23" s="518"/>
      <c r="O23" s="518"/>
      <c r="P23" s="959" t="e">
        <f t="shared" si="1"/>
        <v>#DIV/0!</v>
      </c>
      <c r="Q23" s="516"/>
      <c r="R23" s="518"/>
      <c r="S23" s="519"/>
      <c r="T23" s="519"/>
      <c r="U23" s="519"/>
      <c r="V23" s="519"/>
      <c r="W23" s="519"/>
      <c r="X23" s="520"/>
    </row>
    <row r="24" spans="1:24" ht="27.75" customHeight="1">
      <c r="A24" s="27">
        <v>14</v>
      </c>
      <c r="B24" s="1457" t="s">
        <v>588</v>
      </c>
      <c r="C24" s="1461"/>
      <c r="D24" s="518">
        <v>49184</v>
      </c>
      <c r="E24" s="518">
        <v>49184</v>
      </c>
      <c r="F24" s="518">
        <v>48044</v>
      </c>
      <c r="G24" s="518">
        <v>0</v>
      </c>
      <c r="H24" s="518">
        <v>0</v>
      </c>
      <c r="I24" s="959"/>
      <c r="J24" s="516"/>
      <c r="K24" s="518">
        <v>49184</v>
      </c>
      <c r="L24" s="518">
        <v>49184</v>
      </c>
      <c r="M24" s="518">
        <v>48044</v>
      </c>
      <c r="N24" s="518">
        <v>0</v>
      </c>
      <c r="O24" s="518">
        <v>0</v>
      </c>
      <c r="P24" s="959"/>
      <c r="Q24" s="516"/>
      <c r="R24" s="518"/>
      <c r="S24" s="519"/>
      <c r="T24" s="519"/>
      <c r="U24" s="519"/>
      <c r="V24" s="519"/>
      <c r="W24" s="519"/>
      <c r="X24" s="520"/>
    </row>
    <row r="25" spans="1:24" ht="27.75" customHeight="1" hidden="1">
      <c r="A25" s="27"/>
      <c r="B25" s="1457" t="s">
        <v>539</v>
      </c>
      <c r="C25" s="1461"/>
      <c r="D25" s="518"/>
      <c r="E25" s="518"/>
      <c r="F25" s="518"/>
      <c r="G25" s="518"/>
      <c r="H25" s="518"/>
      <c r="I25" s="959" t="e">
        <f t="shared" si="0"/>
        <v>#DIV/0!</v>
      </c>
      <c r="J25" s="516"/>
      <c r="K25" s="518"/>
      <c r="L25" s="518"/>
      <c r="M25" s="518"/>
      <c r="N25" s="518"/>
      <c r="O25" s="518"/>
      <c r="P25" s="959" t="e">
        <f>+O25/N25</f>
        <v>#DIV/0!</v>
      </c>
      <c r="Q25" s="516"/>
      <c r="R25" s="518"/>
      <c r="S25" s="519"/>
      <c r="T25" s="519"/>
      <c r="U25" s="519"/>
      <c r="V25" s="519"/>
      <c r="W25" s="519"/>
      <c r="X25" s="520"/>
    </row>
    <row r="26" spans="1:24" ht="27.75" customHeight="1" hidden="1" thickBot="1">
      <c r="A26" s="27"/>
      <c r="B26" s="1459" t="s">
        <v>397</v>
      </c>
      <c r="C26" s="1460"/>
      <c r="D26" s="518"/>
      <c r="E26" s="518"/>
      <c r="F26" s="518"/>
      <c r="G26" s="518"/>
      <c r="H26" s="518"/>
      <c r="I26" s="959" t="e">
        <f t="shared" si="0"/>
        <v>#DIV/0!</v>
      </c>
      <c r="J26" s="516"/>
      <c r="K26" s="518"/>
      <c r="L26" s="518"/>
      <c r="M26" s="518"/>
      <c r="N26" s="518"/>
      <c r="O26" s="518"/>
      <c r="P26" s="959" t="e">
        <f>+O26/N26</f>
        <v>#DIV/0!</v>
      </c>
      <c r="Q26" s="516"/>
      <c r="R26" s="518"/>
      <c r="S26" s="519"/>
      <c r="T26" s="519"/>
      <c r="U26" s="519"/>
      <c r="V26" s="519"/>
      <c r="W26" s="519"/>
      <c r="X26" s="520"/>
    </row>
    <row r="27" spans="1:24" ht="27.75" customHeight="1">
      <c r="A27" s="27">
        <v>15</v>
      </c>
      <c r="B27" s="1457" t="s">
        <v>587</v>
      </c>
      <c r="C27" s="1461"/>
      <c r="D27" s="518">
        <v>2133600</v>
      </c>
      <c r="E27" s="518">
        <v>2133600</v>
      </c>
      <c r="F27" s="518">
        <v>2133600</v>
      </c>
      <c r="G27" s="518"/>
      <c r="H27" s="518"/>
      <c r="I27" s="959"/>
      <c r="J27" s="516"/>
      <c r="K27" s="518">
        <v>2133600</v>
      </c>
      <c r="L27" s="518">
        <v>2133600</v>
      </c>
      <c r="M27" s="518">
        <v>2133600</v>
      </c>
      <c r="N27" s="518"/>
      <c r="O27" s="518"/>
      <c r="P27" s="959"/>
      <c r="Q27" s="516"/>
      <c r="R27" s="518"/>
      <c r="S27" s="519"/>
      <c r="T27" s="519"/>
      <c r="U27" s="519"/>
      <c r="V27" s="519"/>
      <c r="W27" s="519"/>
      <c r="X27" s="520"/>
    </row>
    <row r="28" spans="1:24" ht="27.75" customHeight="1">
      <c r="A28" s="27">
        <v>16</v>
      </c>
      <c r="B28" s="1457" t="s">
        <v>585</v>
      </c>
      <c r="C28" s="1461"/>
      <c r="D28" s="518">
        <v>825000</v>
      </c>
      <c r="E28" s="518">
        <v>825000</v>
      </c>
      <c r="F28" s="518">
        <v>825000</v>
      </c>
      <c r="G28" s="518">
        <v>825000</v>
      </c>
      <c r="H28" s="518">
        <v>1513933</v>
      </c>
      <c r="I28" s="959">
        <f t="shared" si="0"/>
        <v>1.835070303030303</v>
      </c>
      <c r="J28" s="516"/>
      <c r="K28" s="518">
        <v>825000</v>
      </c>
      <c r="L28" s="518">
        <v>825000</v>
      </c>
      <c r="M28" s="518">
        <v>825000</v>
      </c>
      <c r="N28" s="518">
        <v>825000</v>
      </c>
      <c r="O28" s="518">
        <v>1513933</v>
      </c>
      <c r="P28" s="959">
        <f>+O28/N28</f>
        <v>1.835070303030303</v>
      </c>
      <c r="Q28" s="516"/>
      <c r="R28" s="518"/>
      <c r="S28" s="519"/>
      <c r="T28" s="519"/>
      <c r="U28" s="519"/>
      <c r="V28" s="519"/>
      <c r="W28" s="519"/>
      <c r="X28" s="520"/>
    </row>
    <row r="29" spans="1:24" ht="27.75" customHeight="1">
      <c r="A29" s="27">
        <v>17</v>
      </c>
      <c r="B29" s="1457" t="s">
        <v>586</v>
      </c>
      <c r="C29" s="1461"/>
      <c r="D29" s="518">
        <v>1536700</v>
      </c>
      <c r="E29" s="518">
        <v>3312315</v>
      </c>
      <c r="F29" s="518">
        <v>3312315</v>
      </c>
      <c r="G29" s="518">
        <v>18759315</v>
      </c>
      <c r="H29" s="518">
        <v>13631020</v>
      </c>
      <c r="I29" s="959">
        <f t="shared" si="0"/>
        <v>0.7266267451663347</v>
      </c>
      <c r="J29" s="516"/>
      <c r="K29" s="518">
        <v>1536700</v>
      </c>
      <c r="L29" s="518">
        <v>3312315</v>
      </c>
      <c r="M29" s="518">
        <v>3312315</v>
      </c>
      <c r="N29" s="518">
        <v>18759315</v>
      </c>
      <c r="O29" s="518">
        <v>13631020</v>
      </c>
      <c r="P29" s="959">
        <f>+O29/N29</f>
        <v>0.7266267451663347</v>
      </c>
      <c r="Q29" s="516"/>
      <c r="R29" s="518"/>
      <c r="S29" s="519"/>
      <c r="T29" s="519"/>
      <c r="U29" s="519"/>
      <c r="V29" s="519"/>
      <c r="W29" s="519"/>
      <c r="X29" s="520"/>
    </row>
    <row r="30" spans="1:24" ht="27.75" customHeight="1">
      <c r="A30" s="815">
        <v>18</v>
      </c>
      <c r="B30" s="1457" t="s">
        <v>539</v>
      </c>
      <c r="C30" s="1458"/>
      <c r="D30" s="816"/>
      <c r="E30" s="816">
        <v>533400</v>
      </c>
      <c r="F30" s="816">
        <v>533400</v>
      </c>
      <c r="G30" s="816"/>
      <c r="H30" s="816"/>
      <c r="I30" s="960"/>
      <c r="J30" s="818"/>
      <c r="K30" s="816"/>
      <c r="L30" s="816">
        <v>533400</v>
      </c>
      <c r="M30" s="816">
        <v>533400</v>
      </c>
      <c r="N30" s="816"/>
      <c r="O30" s="816"/>
      <c r="P30" s="960"/>
      <c r="Q30" s="818"/>
      <c r="R30" s="816"/>
      <c r="S30" s="817"/>
      <c r="T30" s="817"/>
      <c r="U30" s="817"/>
      <c r="V30" s="817"/>
      <c r="W30" s="817"/>
      <c r="X30" s="819"/>
    </row>
    <row r="31" spans="1:24" ht="27.75" customHeight="1">
      <c r="A31" s="815">
        <v>19</v>
      </c>
      <c r="B31" s="1457" t="s">
        <v>513</v>
      </c>
      <c r="C31" s="1458"/>
      <c r="D31" s="816"/>
      <c r="E31" s="816"/>
      <c r="F31" s="816"/>
      <c r="G31" s="816">
        <v>3883600</v>
      </c>
      <c r="H31" s="816">
        <v>3010687</v>
      </c>
      <c r="I31" s="960">
        <f t="shared" si="0"/>
        <v>0.7752309712637758</v>
      </c>
      <c r="J31" s="818"/>
      <c r="K31" s="816"/>
      <c r="L31" s="816"/>
      <c r="M31" s="816"/>
      <c r="N31" s="816">
        <v>3883600</v>
      </c>
      <c r="O31" s="816">
        <v>3010687</v>
      </c>
      <c r="P31" s="960">
        <f aca="true" t="shared" si="2" ref="P31:P36">+O31/N31</f>
        <v>0.7752309712637758</v>
      </c>
      <c r="Q31" s="818"/>
      <c r="R31" s="816"/>
      <c r="S31" s="817"/>
      <c r="T31" s="817"/>
      <c r="U31" s="817"/>
      <c r="V31" s="817"/>
      <c r="W31" s="817"/>
      <c r="X31" s="819"/>
    </row>
    <row r="32" spans="1:24" ht="27.75" customHeight="1">
      <c r="A32" s="815">
        <v>20</v>
      </c>
      <c r="B32" s="1457" t="s">
        <v>678</v>
      </c>
      <c r="C32" s="1458"/>
      <c r="D32" s="816"/>
      <c r="E32" s="816"/>
      <c r="F32" s="816"/>
      <c r="G32" s="816">
        <v>381000</v>
      </c>
      <c r="H32" s="816">
        <v>381000</v>
      </c>
      <c r="I32" s="960">
        <f t="shared" si="0"/>
        <v>1</v>
      </c>
      <c r="J32" s="818"/>
      <c r="K32" s="816"/>
      <c r="L32" s="816"/>
      <c r="M32" s="816"/>
      <c r="N32" s="816">
        <v>381000</v>
      </c>
      <c r="O32" s="816">
        <v>381000</v>
      </c>
      <c r="P32" s="960">
        <f t="shared" si="2"/>
        <v>1</v>
      </c>
      <c r="Q32" s="818"/>
      <c r="R32" s="816"/>
      <c r="S32" s="817"/>
      <c r="T32" s="817"/>
      <c r="U32" s="817"/>
      <c r="V32" s="817"/>
      <c r="W32" s="817"/>
      <c r="X32" s="819"/>
    </row>
    <row r="33" spans="1:24" ht="27.75" customHeight="1">
      <c r="A33" s="815">
        <v>21</v>
      </c>
      <c r="B33" s="1457" t="s">
        <v>679</v>
      </c>
      <c r="C33" s="1458"/>
      <c r="D33" s="816"/>
      <c r="E33" s="816"/>
      <c r="F33" s="816"/>
      <c r="G33" s="816">
        <v>4888800</v>
      </c>
      <c r="H33" s="816">
        <v>3352800</v>
      </c>
      <c r="I33" s="960">
        <f t="shared" si="0"/>
        <v>0.685812469317624</v>
      </c>
      <c r="J33" s="818"/>
      <c r="K33" s="816"/>
      <c r="L33" s="816"/>
      <c r="M33" s="816"/>
      <c r="N33" s="816">
        <v>4888800</v>
      </c>
      <c r="O33" s="816">
        <v>3352800</v>
      </c>
      <c r="P33" s="960">
        <f t="shared" si="2"/>
        <v>0.685812469317624</v>
      </c>
      <c r="Q33" s="818"/>
      <c r="R33" s="816"/>
      <c r="S33" s="817"/>
      <c r="T33" s="817"/>
      <c r="U33" s="817"/>
      <c r="V33" s="817"/>
      <c r="W33" s="817"/>
      <c r="X33" s="819"/>
    </row>
    <row r="34" spans="1:24" ht="27.75" customHeight="1" hidden="1">
      <c r="A34" s="815"/>
      <c r="B34" s="1457"/>
      <c r="C34" s="1458"/>
      <c r="D34" s="816"/>
      <c r="E34" s="816"/>
      <c r="F34" s="816"/>
      <c r="G34" s="816"/>
      <c r="H34" s="816"/>
      <c r="I34" s="960" t="e">
        <f t="shared" si="0"/>
        <v>#DIV/0!</v>
      </c>
      <c r="J34" s="818"/>
      <c r="K34" s="816"/>
      <c r="L34" s="816"/>
      <c r="M34" s="816"/>
      <c r="N34" s="816"/>
      <c r="O34" s="816"/>
      <c r="P34" s="960" t="e">
        <f t="shared" si="2"/>
        <v>#DIV/0!</v>
      </c>
      <c r="Q34" s="818"/>
      <c r="R34" s="816"/>
      <c r="S34" s="817"/>
      <c r="T34" s="817"/>
      <c r="U34" s="817"/>
      <c r="V34" s="817"/>
      <c r="W34" s="817"/>
      <c r="X34" s="819"/>
    </row>
    <row r="35" spans="1:24" ht="27.75" customHeight="1" hidden="1">
      <c r="A35" s="815"/>
      <c r="B35" s="1457"/>
      <c r="C35" s="1458"/>
      <c r="D35" s="816"/>
      <c r="E35" s="816"/>
      <c r="F35" s="816"/>
      <c r="G35" s="816"/>
      <c r="H35" s="816"/>
      <c r="I35" s="960" t="e">
        <f t="shared" si="0"/>
        <v>#DIV/0!</v>
      </c>
      <c r="J35" s="818"/>
      <c r="K35" s="816"/>
      <c r="L35" s="816"/>
      <c r="M35" s="816"/>
      <c r="N35" s="816"/>
      <c r="O35" s="816"/>
      <c r="P35" s="960" t="e">
        <f t="shared" si="2"/>
        <v>#DIV/0!</v>
      </c>
      <c r="Q35" s="818"/>
      <c r="R35" s="816"/>
      <c r="S35" s="817"/>
      <c r="T35" s="817"/>
      <c r="U35" s="817"/>
      <c r="V35" s="817"/>
      <c r="W35" s="817"/>
      <c r="X35" s="819"/>
    </row>
    <row r="36" spans="1:24" ht="27.75" customHeight="1" thickBot="1">
      <c r="A36" s="521">
        <v>22</v>
      </c>
      <c r="B36" s="1459" t="s">
        <v>397</v>
      </c>
      <c r="C36" s="1460"/>
      <c r="D36" s="522"/>
      <c r="E36" s="522"/>
      <c r="F36" s="522"/>
      <c r="G36" s="522">
        <v>2500000</v>
      </c>
      <c r="H36" s="522">
        <v>1426107</v>
      </c>
      <c r="I36" s="961">
        <f t="shared" si="0"/>
        <v>0.5704428</v>
      </c>
      <c r="J36" s="635"/>
      <c r="K36" s="522"/>
      <c r="L36" s="522"/>
      <c r="M36" s="522"/>
      <c r="N36" s="522">
        <v>2500000</v>
      </c>
      <c r="O36" s="522">
        <v>1426107</v>
      </c>
      <c r="P36" s="961">
        <f t="shared" si="2"/>
        <v>0.5704428</v>
      </c>
      <c r="Q36" s="635"/>
      <c r="R36" s="522"/>
      <c r="S36" s="523"/>
      <c r="T36" s="523"/>
      <c r="U36" s="523"/>
      <c r="V36" s="523"/>
      <c r="W36" s="523"/>
      <c r="X36" s="524"/>
    </row>
    <row r="37" spans="1:24" ht="32.25" customHeight="1" thickBot="1">
      <c r="A37" s="525"/>
      <c r="B37" s="1456" t="s">
        <v>377</v>
      </c>
      <c r="C37" s="1456"/>
      <c r="D37" s="526">
        <f aca="true" t="shared" si="3" ref="D37:V37">SUM(D8:D36)</f>
        <v>104090826</v>
      </c>
      <c r="E37" s="526">
        <f t="shared" si="3"/>
        <v>107259281</v>
      </c>
      <c r="F37" s="526">
        <f t="shared" si="3"/>
        <v>110131184</v>
      </c>
      <c r="G37" s="526">
        <f>SUM(G8:G36)</f>
        <v>189140353</v>
      </c>
      <c r="H37" s="526">
        <f>SUM(H8:H36)</f>
        <v>68353986</v>
      </c>
      <c r="I37" s="962">
        <f t="shared" si="0"/>
        <v>0.3613929281394542</v>
      </c>
      <c r="J37" s="526">
        <f t="shared" si="3"/>
        <v>0</v>
      </c>
      <c r="K37" s="526">
        <f>SUM(K8:K36)</f>
        <v>56549245</v>
      </c>
      <c r="L37" s="526">
        <f>SUM(L8:L36)</f>
        <v>59717700</v>
      </c>
      <c r="M37" s="526">
        <f>SUM(M8:M36)</f>
        <v>62589603</v>
      </c>
      <c r="N37" s="526">
        <f>SUM(N8:N36)</f>
        <v>141494672</v>
      </c>
      <c r="O37" s="526">
        <f>SUM(O8:O36)</f>
        <v>65645515</v>
      </c>
      <c r="P37" s="962">
        <f>+O37/N37</f>
        <v>0.4639433702493052</v>
      </c>
      <c r="Q37" s="526">
        <f t="shared" si="3"/>
        <v>0</v>
      </c>
      <c r="R37" s="526">
        <f t="shared" si="3"/>
        <v>47541581</v>
      </c>
      <c r="S37" s="526">
        <f t="shared" si="3"/>
        <v>47541581</v>
      </c>
      <c r="T37" s="526">
        <f t="shared" si="3"/>
        <v>47541581</v>
      </c>
      <c r="U37" s="526">
        <f t="shared" si="3"/>
        <v>47645681</v>
      </c>
      <c r="V37" s="526">
        <f t="shared" si="3"/>
        <v>2708471</v>
      </c>
      <c r="W37" s="962">
        <f>+V37/U37</f>
        <v>0.05684609692114591</v>
      </c>
      <c r="X37" s="527">
        <f>V37/U37</f>
        <v>0.05684609692114591</v>
      </c>
    </row>
    <row r="38" spans="4:9" ht="12.75">
      <c r="D38" s="766" t="str">
        <f>IF(D37='4.sz.m.ÖNK kiadás'!E9," ","HIBA-nem egyenlő"=D19)</f>
        <v> </v>
      </c>
      <c r="G38" s="812"/>
      <c r="I38" s="812"/>
    </row>
    <row r="39" spans="4:19" ht="12.75">
      <c r="D39" s="295"/>
      <c r="E39" s="295"/>
      <c r="F39" s="8"/>
      <c r="G39" s="8"/>
      <c r="H39" s="295"/>
      <c r="I39" s="295"/>
      <c r="J39" s="8"/>
      <c r="K39" s="8"/>
      <c r="L39" s="8"/>
      <c r="R39" s="8"/>
      <c r="S39" s="8"/>
    </row>
    <row r="40" spans="4:19" ht="12.75">
      <c r="D40" s="8"/>
      <c r="E40" s="8"/>
      <c r="F40" s="8"/>
      <c r="G40" s="8"/>
      <c r="H40" s="29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4:19" ht="12.75">
      <c r="D41" s="8"/>
      <c r="E41" s="8"/>
      <c r="F41" s="8"/>
      <c r="G41" s="8"/>
      <c r="H41" s="295"/>
      <c r="I41" s="295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4:19" ht="12.7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4:19" ht="12.75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4:19" ht="12.7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4:19" ht="12.7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4:19" ht="12.7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4:19" ht="12.7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4:19" ht="12.7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4:19" ht="12.7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4:19" ht="12.7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4:19" ht="12.7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4:19" ht="12.7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4:19" ht="12.7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4:19" ht="12.7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</sheetData>
  <sheetProtection/>
  <mergeCells count="38">
    <mergeCell ref="K1:W1"/>
    <mergeCell ref="A2:R2"/>
    <mergeCell ref="A3:R3"/>
    <mergeCell ref="A4:R4"/>
    <mergeCell ref="B6:C6"/>
    <mergeCell ref="R5:W5"/>
    <mergeCell ref="D6:J6"/>
    <mergeCell ref="K6:Q6"/>
    <mergeCell ref="R6:X6"/>
    <mergeCell ref="B13:C13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19:C19"/>
    <mergeCell ref="B25:C25"/>
    <mergeCell ref="B29:C29"/>
    <mergeCell ref="B24:C24"/>
    <mergeCell ref="B20:C20"/>
    <mergeCell ref="B23:C23"/>
    <mergeCell ref="B21:C21"/>
    <mergeCell ref="B22:C22"/>
    <mergeCell ref="B26:C26"/>
    <mergeCell ref="B27:C27"/>
    <mergeCell ref="B28:C28"/>
    <mergeCell ref="B37:C37"/>
    <mergeCell ref="B31:C31"/>
    <mergeCell ref="B35:C35"/>
    <mergeCell ref="B32:C32"/>
    <mergeCell ref="B33:C33"/>
    <mergeCell ref="B30:C30"/>
    <mergeCell ref="B36:C36"/>
    <mergeCell ref="B34:C3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="70" zoomScaleNormal="70" workbookViewId="0" topLeftCell="A7">
      <selection activeCell="A20" sqref="A20"/>
    </sheetView>
  </sheetViews>
  <sheetFormatPr defaultColWidth="9.140625" defaultRowHeight="12.75"/>
  <cols>
    <col min="1" max="1" width="50.28125" style="10" customWidth="1"/>
    <col min="2" max="2" width="13.28125" style="10" customWidth="1"/>
    <col min="3" max="3" width="22.57421875" style="15" customWidth="1"/>
    <col min="4" max="5" width="17.00390625" style="15" hidden="1" customWidth="1"/>
    <col min="6" max="6" width="17.00390625" style="15" customWidth="1"/>
    <col min="7" max="7" width="18.00390625" style="15" customWidth="1"/>
    <col min="8" max="8" width="19.421875" style="15" customWidth="1"/>
    <col min="9" max="9" width="5.28125" style="15" hidden="1" customWidth="1"/>
    <col min="10" max="10" width="21.00390625" style="15" customWidth="1"/>
    <col min="11" max="12" width="17.00390625" style="15" hidden="1" customWidth="1"/>
    <col min="13" max="13" width="17.00390625" style="15" customWidth="1"/>
    <col min="14" max="14" width="21.421875" style="15" customWidth="1"/>
    <col min="15" max="15" width="17.28125" style="15" customWidth="1"/>
    <col min="16" max="16" width="2.7109375" style="15" hidden="1" customWidth="1"/>
    <col min="17" max="17" width="22.57421875" style="15" customWidth="1"/>
    <col min="18" max="18" width="17.28125" style="10" hidden="1" customWidth="1"/>
    <col min="19" max="19" width="17.421875" style="10" hidden="1" customWidth="1"/>
    <col min="20" max="20" width="18.28125" style="10" customWidth="1"/>
    <col min="21" max="21" width="18.421875" style="10" customWidth="1"/>
    <col min="22" max="22" width="14.421875" style="10" customWidth="1"/>
    <col min="23" max="23" width="16.140625" style="10" hidden="1" customWidth="1"/>
    <col min="24" max="24" width="17.7109375" style="10" customWidth="1"/>
    <col min="25" max="25" width="9.140625" style="10" customWidth="1"/>
    <col min="26" max="26" width="13.28125" style="10" bestFit="1" customWidth="1"/>
    <col min="27" max="27" width="15.57421875" style="10" bestFit="1" customWidth="1"/>
    <col min="28" max="16384" width="9.140625" style="10" customWidth="1"/>
  </cols>
  <sheetData>
    <row r="1" spans="10:21" ht="24.75" customHeight="1">
      <c r="J1" s="1494" t="s">
        <v>910</v>
      </c>
      <c r="K1" s="1494"/>
      <c r="L1" s="1494"/>
      <c r="M1" s="1494"/>
      <c r="N1" s="1494"/>
      <c r="O1" s="1494"/>
      <c r="P1" s="1494"/>
      <c r="Q1" s="1494"/>
      <c r="R1" s="1494"/>
      <c r="S1" s="1494"/>
      <c r="T1" s="1494"/>
      <c r="U1" s="1494"/>
    </row>
    <row r="2" spans="1:17" ht="37.5" customHeight="1">
      <c r="A2" s="1495" t="s">
        <v>378</v>
      </c>
      <c r="B2" s="1495"/>
      <c r="C2" s="1496"/>
      <c r="D2" s="1496"/>
      <c r="E2" s="1496"/>
      <c r="F2" s="1496"/>
      <c r="G2" s="1496"/>
      <c r="H2" s="1496"/>
      <c r="I2" s="1496"/>
      <c r="J2" s="1496"/>
      <c r="K2" s="1496"/>
      <c r="L2" s="1496"/>
      <c r="M2" s="1496"/>
      <c r="N2" s="1496"/>
      <c r="O2" s="1496"/>
      <c r="P2" s="1496"/>
      <c r="Q2" s="1496"/>
    </row>
    <row r="3" spans="1:17" ht="18.75" customHeight="1">
      <c r="A3" s="1497" t="s">
        <v>547</v>
      </c>
      <c r="B3" s="1497"/>
      <c r="C3" s="1497"/>
      <c r="D3" s="1497"/>
      <c r="E3" s="1497"/>
      <c r="F3" s="1497"/>
      <c r="G3" s="1497"/>
      <c r="H3" s="1497"/>
      <c r="I3" s="1497"/>
      <c r="J3" s="1497"/>
      <c r="K3" s="1497"/>
      <c r="L3" s="1497"/>
      <c r="M3" s="1497"/>
      <c r="N3" s="1497"/>
      <c r="O3" s="1497"/>
      <c r="P3" s="1497"/>
      <c r="Q3" s="1497"/>
    </row>
    <row r="4" spans="1:17" ht="15.75">
      <c r="A4" s="1498" t="s">
        <v>379</v>
      </c>
      <c r="B4" s="1498"/>
      <c r="C4" s="1498"/>
      <c r="D4" s="1498"/>
      <c r="E4" s="1498"/>
      <c r="F4" s="1498"/>
      <c r="G4" s="1498"/>
      <c r="H4" s="1498"/>
      <c r="I4" s="1498"/>
      <c r="J4" s="1498"/>
      <c r="K4" s="1498"/>
      <c r="L4" s="1498"/>
      <c r="M4" s="1498"/>
      <c r="N4" s="1498"/>
      <c r="O4" s="1498"/>
      <c r="P4" s="1498"/>
      <c r="Q4" s="1498"/>
    </row>
    <row r="5" spans="1:17" ht="19.5" thickBot="1">
      <c r="A5" s="529"/>
      <c r="B5" s="529"/>
      <c r="Q5" s="528" t="s">
        <v>443</v>
      </c>
    </row>
    <row r="6" spans="1:24" ht="19.5" customHeight="1">
      <c r="A6" s="1476" t="s">
        <v>489</v>
      </c>
      <c r="B6" s="1479" t="s">
        <v>381</v>
      </c>
      <c r="C6" s="1482" t="s">
        <v>5</v>
      </c>
      <c r="D6" s="1483"/>
      <c r="E6" s="1483"/>
      <c r="F6" s="1483"/>
      <c r="G6" s="1483"/>
      <c r="H6" s="1483"/>
      <c r="I6" s="1484"/>
      <c r="J6" s="1482" t="s">
        <v>26</v>
      </c>
      <c r="K6" s="1483"/>
      <c r="L6" s="1483"/>
      <c r="M6" s="1483"/>
      <c r="N6" s="1483"/>
      <c r="O6" s="1483"/>
      <c r="P6" s="1484"/>
      <c r="Q6" s="1482" t="s">
        <v>700</v>
      </c>
      <c r="R6" s="1483"/>
      <c r="S6" s="1483"/>
      <c r="T6" s="1483"/>
      <c r="U6" s="1483"/>
      <c r="V6" s="1483"/>
      <c r="W6" s="1491"/>
      <c r="X6" s="530"/>
    </row>
    <row r="7" spans="1:24" ht="12.75" customHeight="1">
      <c r="A7" s="1477"/>
      <c r="B7" s="1480"/>
      <c r="C7" s="1485"/>
      <c r="D7" s="1486"/>
      <c r="E7" s="1486"/>
      <c r="F7" s="1486"/>
      <c r="G7" s="1486"/>
      <c r="H7" s="1486"/>
      <c r="I7" s="1487"/>
      <c r="J7" s="1485"/>
      <c r="K7" s="1486"/>
      <c r="L7" s="1486"/>
      <c r="M7" s="1486"/>
      <c r="N7" s="1486"/>
      <c r="O7" s="1486"/>
      <c r="P7" s="1487"/>
      <c r="Q7" s="1485"/>
      <c r="R7" s="1486"/>
      <c r="S7" s="1486"/>
      <c r="T7" s="1486"/>
      <c r="U7" s="1486"/>
      <c r="V7" s="1486"/>
      <c r="W7" s="1492"/>
      <c r="X7" s="532"/>
    </row>
    <row r="8" spans="1:24" ht="20.25" customHeight="1" thickBot="1">
      <c r="A8" s="1478"/>
      <c r="B8" s="1481"/>
      <c r="C8" s="1488"/>
      <c r="D8" s="1489"/>
      <c r="E8" s="1489"/>
      <c r="F8" s="1489"/>
      <c r="G8" s="1489"/>
      <c r="H8" s="1489"/>
      <c r="I8" s="1490"/>
      <c r="J8" s="1488"/>
      <c r="K8" s="1489"/>
      <c r="L8" s="1489"/>
      <c r="M8" s="1489"/>
      <c r="N8" s="1489"/>
      <c r="O8" s="1489"/>
      <c r="P8" s="1490"/>
      <c r="Q8" s="1488"/>
      <c r="R8" s="1489"/>
      <c r="S8" s="1489"/>
      <c r="T8" s="1489"/>
      <c r="U8" s="1489"/>
      <c r="V8" s="1489"/>
      <c r="W8" s="1493"/>
      <c r="X8" s="532"/>
    </row>
    <row r="9" spans="1:24" ht="113.25" thickTop="1">
      <c r="A9" s="533"/>
      <c r="B9" s="531"/>
      <c r="C9" s="534" t="s">
        <v>65</v>
      </c>
      <c r="D9" s="534" t="s">
        <v>227</v>
      </c>
      <c r="E9" s="534" t="s">
        <v>230</v>
      </c>
      <c r="F9" s="534" t="s">
        <v>232</v>
      </c>
      <c r="G9" s="535" t="s">
        <v>235</v>
      </c>
      <c r="H9" s="535" t="s">
        <v>236</v>
      </c>
      <c r="I9" s="535" t="s">
        <v>236</v>
      </c>
      <c r="J9" s="534" t="s">
        <v>65</v>
      </c>
      <c r="K9" s="534" t="s">
        <v>227</v>
      </c>
      <c r="L9" s="534" t="s">
        <v>230</v>
      </c>
      <c r="M9" s="534" t="s">
        <v>232</v>
      </c>
      <c r="N9" s="535" t="s">
        <v>235</v>
      </c>
      <c r="O9" s="535" t="s">
        <v>236</v>
      </c>
      <c r="P9" s="535" t="s">
        <v>236</v>
      </c>
      <c r="Q9" s="534" t="s">
        <v>65</v>
      </c>
      <c r="R9" s="534" t="s">
        <v>227</v>
      </c>
      <c r="S9" s="534" t="s">
        <v>230</v>
      </c>
      <c r="T9" s="534" t="s">
        <v>232</v>
      </c>
      <c r="U9" s="535" t="s">
        <v>235</v>
      </c>
      <c r="V9" s="535" t="s">
        <v>236</v>
      </c>
      <c r="W9" s="536" t="s">
        <v>236</v>
      </c>
      <c r="X9" s="532"/>
    </row>
    <row r="10" spans="1:24" ht="27" customHeight="1">
      <c r="A10" s="537" t="s">
        <v>490</v>
      </c>
      <c r="B10" s="538" t="s">
        <v>207</v>
      </c>
      <c r="C10" s="539">
        <v>100000</v>
      </c>
      <c r="D10" s="539">
        <v>100000</v>
      </c>
      <c r="E10" s="539">
        <v>100000</v>
      </c>
      <c r="F10" s="539">
        <v>100000</v>
      </c>
      <c r="G10" s="539">
        <v>0</v>
      </c>
      <c r="H10" s="963">
        <f>+G10/F10</f>
        <v>0</v>
      </c>
      <c r="I10" s="541"/>
      <c r="J10" s="539">
        <v>100000</v>
      </c>
      <c r="K10" s="539">
        <v>100000</v>
      </c>
      <c r="L10" s="539">
        <v>100000</v>
      </c>
      <c r="M10" s="539">
        <v>100000</v>
      </c>
      <c r="N10" s="539">
        <v>0</v>
      </c>
      <c r="O10" s="963">
        <f>+N10/M10</f>
        <v>0</v>
      </c>
      <c r="P10" s="541"/>
      <c r="Q10" s="539"/>
      <c r="R10" s="539">
        <f>D10-K10</f>
        <v>0</v>
      </c>
      <c r="S10" s="539">
        <f>E10-L10</f>
        <v>0</v>
      </c>
      <c r="T10" s="539">
        <f>F10-M10</f>
        <v>0</v>
      </c>
      <c r="U10" s="539">
        <f>G10-N10</f>
        <v>0</v>
      </c>
      <c r="V10" s="963"/>
      <c r="W10" s="541" t="e">
        <f aca="true" t="shared" si="0" ref="W10:W15">U10/T10</f>
        <v>#DIV/0!</v>
      </c>
      <c r="X10" s="532"/>
    </row>
    <row r="11" spans="1:24" ht="27.75" customHeight="1">
      <c r="A11" s="537" t="s">
        <v>491</v>
      </c>
      <c r="B11" s="538" t="s">
        <v>207</v>
      </c>
      <c r="C11" s="539">
        <v>500000</v>
      </c>
      <c r="D11" s="539">
        <v>500000</v>
      </c>
      <c r="E11" s="539">
        <v>500000</v>
      </c>
      <c r="F11" s="539">
        <v>500000</v>
      </c>
      <c r="G11" s="539">
        <v>360000</v>
      </c>
      <c r="H11" s="963">
        <f aca="true" t="shared" si="1" ref="H11:H21">+G11/F11</f>
        <v>0.72</v>
      </c>
      <c r="I11" s="541"/>
      <c r="J11" s="539">
        <v>500000</v>
      </c>
      <c r="K11" s="539">
        <v>500000</v>
      </c>
      <c r="L11" s="539">
        <v>500000</v>
      </c>
      <c r="M11" s="539">
        <v>500000</v>
      </c>
      <c r="N11" s="539">
        <v>360000</v>
      </c>
      <c r="O11" s="963">
        <f aca="true" t="shared" si="2" ref="O11:O21">+N11/M11</f>
        <v>0.72</v>
      </c>
      <c r="P11" s="541"/>
      <c r="Q11" s="539"/>
      <c r="R11" s="539">
        <f aca="true" t="shared" si="3" ref="R11:U17">D11-K11</f>
        <v>0</v>
      </c>
      <c r="S11" s="539">
        <f t="shared" si="3"/>
        <v>0</v>
      </c>
      <c r="T11" s="539">
        <f t="shared" si="3"/>
        <v>0</v>
      </c>
      <c r="U11" s="539">
        <f t="shared" si="3"/>
        <v>0</v>
      </c>
      <c r="V11" s="963"/>
      <c r="W11" s="541" t="e">
        <f t="shared" si="0"/>
        <v>#DIV/0!</v>
      </c>
      <c r="X11" s="532"/>
    </row>
    <row r="12" spans="1:24" ht="27" customHeight="1" hidden="1">
      <c r="A12" s="537" t="s">
        <v>383</v>
      </c>
      <c r="B12" s="538" t="s">
        <v>206</v>
      </c>
      <c r="C12" s="539"/>
      <c r="D12" s="539"/>
      <c r="E12" s="539"/>
      <c r="F12" s="539"/>
      <c r="G12" s="539"/>
      <c r="H12" s="963" t="e">
        <f t="shared" si="1"/>
        <v>#DIV/0!</v>
      </c>
      <c r="I12" s="541"/>
      <c r="J12" s="539"/>
      <c r="K12" s="539"/>
      <c r="L12" s="539"/>
      <c r="M12" s="539"/>
      <c r="N12" s="539"/>
      <c r="O12" s="963" t="e">
        <f t="shared" si="2"/>
        <v>#DIV/0!</v>
      </c>
      <c r="P12" s="542"/>
      <c r="Q12" s="539"/>
      <c r="R12" s="539">
        <f t="shared" si="3"/>
        <v>0</v>
      </c>
      <c r="S12" s="539">
        <f t="shared" si="3"/>
        <v>0</v>
      </c>
      <c r="T12" s="539">
        <f t="shared" si="3"/>
        <v>0</v>
      </c>
      <c r="U12" s="539">
        <f t="shared" si="3"/>
        <v>0</v>
      </c>
      <c r="V12" s="963"/>
      <c r="W12" s="541" t="e">
        <f t="shared" si="0"/>
        <v>#DIV/0!</v>
      </c>
      <c r="X12" s="532"/>
    </row>
    <row r="13" spans="1:26" ht="28.5" customHeight="1">
      <c r="A13" s="537" t="s">
        <v>492</v>
      </c>
      <c r="B13" s="538" t="s">
        <v>207</v>
      </c>
      <c r="C13" s="539">
        <f>150000+500000+500000</f>
        <v>1150000</v>
      </c>
      <c r="D13" s="539">
        <f>150000+500000+500000</f>
        <v>1150000</v>
      </c>
      <c r="E13" s="539">
        <f>150000+500000+500000</f>
        <v>1150000</v>
      </c>
      <c r="F13" s="539">
        <f>150000+500000+500000</f>
        <v>1150000</v>
      </c>
      <c r="G13" s="539">
        <v>940000</v>
      </c>
      <c r="H13" s="963">
        <f t="shared" si="1"/>
        <v>0.8173913043478261</v>
      </c>
      <c r="I13" s="541"/>
      <c r="J13" s="539">
        <f>150000+500000+500000</f>
        <v>1150000</v>
      </c>
      <c r="K13" s="539">
        <f>150000+500000+500000</f>
        <v>1150000</v>
      </c>
      <c r="L13" s="539">
        <f>150000+500000+500000</f>
        <v>1150000</v>
      </c>
      <c r="M13" s="539">
        <f>150000+500000+500000</f>
        <v>1150000</v>
      </c>
      <c r="N13" s="539">
        <v>940000</v>
      </c>
      <c r="O13" s="963">
        <f t="shared" si="2"/>
        <v>0.8173913043478261</v>
      </c>
      <c r="P13" s="542"/>
      <c r="Q13" s="539"/>
      <c r="R13" s="539">
        <f t="shared" si="3"/>
        <v>0</v>
      </c>
      <c r="S13" s="539">
        <f t="shared" si="3"/>
        <v>0</v>
      </c>
      <c r="T13" s="539">
        <f t="shared" si="3"/>
        <v>0</v>
      </c>
      <c r="U13" s="539">
        <f t="shared" si="3"/>
        <v>0</v>
      </c>
      <c r="V13" s="963"/>
      <c r="W13" s="541" t="e">
        <f t="shared" si="0"/>
        <v>#DIV/0!</v>
      </c>
      <c r="X13" s="532"/>
      <c r="Z13" s="15"/>
    </row>
    <row r="14" spans="1:24" ht="32.25" customHeight="1">
      <c r="A14" s="537" t="s">
        <v>493</v>
      </c>
      <c r="B14" s="538" t="s">
        <v>207</v>
      </c>
      <c r="C14" s="539">
        <v>500000</v>
      </c>
      <c r="D14" s="539">
        <v>500000</v>
      </c>
      <c r="E14" s="539">
        <v>500000</v>
      </c>
      <c r="F14" s="539">
        <v>500000</v>
      </c>
      <c r="G14" s="539">
        <f>19700+173988+17000+16765+24000-251453</f>
        <v>0</v>
      </c>
      <c r="H14" s="963">
        <f t="shared" si="1"/>
        <v>0</v>
      </c>
      <c r="I14" s="541"/>
      <c r="J14" s="539">
        <v>500000</v>
      </c>
      <c r="K14" s="539">
        <v>500000</v>
      </c>
      <c r="L14" s="539">
        <v>500000</v>
      </c>
      <c r="M14" s="539">
        <v>500000</v>
      </c>
      <c r="N14" s="539">
        <f>19700+173988+17000+16765+24000-251453</f>
        <v>0</v>
      </c>
      <c r="O14" s="963">
        <f t="shared" si="2"/>
        <v>0</v>
      </c>
      <c r="P14" s="542"/>
      <c r="Q14" s="539"/>
      <c r="R14" s="539">
        <f t="shared" si="3"/>
        <v>0</v>
      </c>
      <c r="S14" s="539">
        <f t="shared" si="3"/>
        <v>0</v>
      </c>
      <c r="T14" s="539">
        <f t="shared" si="3"/>
        <v>0</v>
      </c>
      <c r="U14" s="539">
        <f t="shared" si="3"/>
        <v>0</v>
      </c>
      <c r="V14" s="963"/>
      <c r="W14" s="541" t="e">
        <f t="shared" si="0"/>
        <v>#DIV/0!</v>
      </c>
      <c r="X14" s="532"/>
    </row>
    <row r="15" spans="1:24" ht="33" customHeight="1" hidden="1">
      <c r="A15" s="537" t="s">
        <v>494</v>
      </c>
      <c r="B15" s="538" t="s">
        <v>206</v>
      </c>
      <c r="C15" s="544"/>
      <c r="D15" s="544"/>
      <c r="E15" s="544"/>
      <c r="F15" s="544"/>
      <c r="G15" s="544"/>
      <c r="H15" s="964" t="e">
        <f t="shared" si="1"/>
        <v>#DIV/0!</v>
      </c>
      <c r="I15" s="541"/>
      <c r="J15" s="544"/>
      <c r="K15" s="544"/>
      <c r="L15" s="544"/>
      <c r="M15" s="544"/>
      <c r="N15" s="544"/>
      <c r="O15" s="964" t="e">
        <f t="shared" si="2"/>
        <v>#DIV/0!</v>
      </c>
      <c r="P15" s="542"/>
      <c r="Q15" s="539"/>
      <c r="R15" s="539"/>
      <c r="S15" s="539">
        <f t="shared" si="3"/>
        <v>0</v>
      </c>
      <c r="T15" s="539">
        <f t="shared" si="3"/>
        <v>0</v>
      </c>
      <c r="U15" s="539">
        <f t="shared" si="3"/>
        <v>0</v>
      </c>
      <c r="V15" s="964" t="e">
        <f aca="true" t="shared" si="4" ref="V15:V21">+U15/T15</f>
        <v>#DIV/0!</v>
      </c>
      <c r="W15" s="541" t="e">
        <f t="shared" si="0"/>
        <v>#DIV/0!</v>
      </c>
      <c r="X15" s="532"/>
    </row>
    <row r="16" spans="1:24" ht="33" customHeight="1" hidden="1">
      <c r="A16" s="537" t="s">
        <v>495</v>
      </c>
      <c r="B16" s="538" t="s">
        <v>207</v>
      </c>
      <c r="C16" s="544"/>
      <c r="D16" s="544"/>
      <c r="E16" s="544"/>
      <c r="F16" s="544"/>
      <c r="G16" s="544"/>
      <c r="H16" s="964" t="e">
        <f t="shared" si="1"/>
        <v>#DIV/0!</v>
      </c>
      <c r="I16" s="542"/>
      <c r="J16" s="544"/>
      <c r="K16" s="544"/>
      <c r="L16" s="544"/>
      <c r="M16" s="544"/>
      <c r="N16" s="544"/>
      <c r="O16" s="964" t="e">
        <f t="shared" si="2"/>
        <v>#DIV/0!</v>
      </c>
      <c r="P16" s="542"/>
      <c r="Q16" s="539"/>
      <c r="R16" s="539"/>
      <c r="S16" s="539">
        <f t="shared" si="3"/>
        <v>0</v>
      </c>
      <c r="T16" s="539">
        <f t="shared" si="3"/>
        <v>0</v>
      </c>
      <c r="U16" s="539">
        <f t="shared" si="3"/>
        <v>0</v>
      </c>
      <c r="V16" s="964" t="e">
        <f t="shared" si="4"/>
        <v>#DIV/0!</v>
      </c>
      <c r="W16" s="671"/>
      <c r="X16" s="532"/>
    </row>
    <row r="17" spans="1:24" ht="33" customHeight="1" thickBot="1">
      <c r="A17" s="556" t="s">
        <v>435</v>
      </c>
      <c r="B17" s="681" t="s">
        <v>207</v>
      </c>
      <c r="C17" s="682"/>
      <c r="D17" s="682"/>
      <c r="E17" s="682">
        <v>151000</v>
      </c>
      <c r="F17" s="682">
        <v>314000</v>
      </c>
      <c r="G17" s="682">
        <v>314000</v>
      </c>
      <c r="H17" s="965">
        <f t="shared" si="1"/>
        <v>1</v>
      </c>
      <c r="I17" s="683"/>
      <c r="J17" s="682"/>
      <c r="K17" s="682"/>
      <c r="L17" s="682">
        <v>151000</v>
      </c>
      <c r="M17" s="682">
        <v>0</v>
      </c>
      <c r="N17" s="682">
        <v>0</v>
      </c>
      <c r="O17" s="965"/>
      <c r="P17" s="683"/>
      <c r="Q17" s="544"/>
      <c r="R17" s="544"/>
      <c r="S17" s="539">
        <f t="shared" si="3"/>
        <v>0</v>
      </c>
      <c r="T17" s="544">
        <v>314000</v>
      </c>
      <c r="U17" s="544">
        <v>314000</v>
      </c>
      <c r="V17" s="965">
        <f t="shared" si="4"/>
        <v>1</v>
      </c>
      <c r="W17" s="671"/>
      <c r="X17" s="532"/>
    </row>
    <row r="18" spans="1:24" ht="33" customHeight="1" hidden="1" thickTop="1">
      <c r="A18" s="537" t="s">
        <v>445</v>
      </c>
      <c r="B18" s="538" t="s">
        <v>207</v>
      </c>
      <c r="C18" s="544"/>
      <c r="D18" s="544"/>
      <c r="E18" s="544"/>
      <c r="F18" s="544"/>
      <c r="G18" s="544"/>
      <c r="H18" s="964" t="e">
        <f t="shared" si="1"/>
        <v>#DIV/0!</v>
      </c>
      <c r="I18" s="542"/>
      <c r="J18" s="544"/>
      <c r="K18" s="544"/>
      <c r="L18" s="544"/>
      <c r="M18" s="544"/>
      <c r="N18" s="544"/>
      <c r="O18" s="964" t="e">
        <f t="shared" si="2"/>
        <v>#DIV/0!</v>
      </c>
      <c r="P18" s="542"/>
      <c r="Q18" s="544"/>
      <c r="R18" s="544"/>
      <c r="S18" s="544"/>
      <c r="T18" s="544"/>
      <c r="U18" s="544"/>
      <c r="V18" s="964" t="e">
        <f t="shared" si="4"/>
        <v>#DIV/0!</v>
      </c>
      <c r="W18" s="671"/>
      <c r="X18" s="685"/>
    </row>
    <row r="19" spans="1:24" ht="33" customHeight="1" hidden="1">
      <c r="A19" s="742" t="s">
        <v>435</v>
      </c>
      <c r="B19" s="557" t="s">
        <v>207</v>
      </c>
      <c r="C19" s="743"/>
      <c r="D19" s="743"/>
      <c r="E19" s="743"/>
      <c r="F19" s="743"/>
      <c r="G19" s="743"/>
      <c r="H19" s="966" t="e">
        <f t="shared" si="1"/>
        <v>#DIV/0!</v>
      </c>
      <c r="I19" s="744"/>
      <c r="J19" s="743"/>
      <c r="K19" s="743"/>
      <c r="L19" s="743"/>
      <c r="M19" s="743"/>
      <c r="N19" s="743"/>
      <c r="O19" s="966" t="e">
        <f t="shared" si="2"/>
        <v>#DIV/0!</v>
      </c>
      <c r="P19" s="744"/>
      <c r="Q19" s="743"/>
      <c r="R19" s="743"/>
      <c r="S19" s="743"/>
      <c r="T19" s="743"/>
      <c r="U19" s="743"/>
      <c r="V19" s="966" t="e">
        <f t="shared" si="4"/>
        <v>#DIV/0!</v>
      </c>
      <c r="W19" s="671"/>
      <c r="X19" s="685"/>
    </row>
    <row r="20" spans="1:24" ht="33" customHeight="1" hidden="1" thickBot="1">
      <c r="A20" s="556" t="s">
        <v>554</v>
      </c>
      <c r="B20" s="681" t="s">
        <v>207</v>
      </c>
      <c r="C20" s="682"/>
      <c r="D20" s="682"/>
      <c r="E20" s="682"/>
      <c r="F20" s="682"/>
      <c r="G20" s="682"/>
      <c r="H20" s="965" t="e">
        <f t="shared" si="1"/>
        <v>#DIV/0!</v>
      </c>
      <c r="I20" s="683"/>
      <c r="J20" s="682"/>
      <c r="K20" s="682"/>
      <c r="L20" s="682"/>
      <c r="M20" s="682"/>
      <c r="N20" s="682"/>
      <c r="O20" s="965" t="e">
        <f t="shared" si="2"/>
        <v>#DIV/0!</v>
      </c>
      <c r="P20" s="683"/>
      <c r="Q20" s="682"/>
      <c r="R20" s="682"/>
      <c r="S20" s="682"/>
      <c r="T20" s="682"/>
      <c r="U20" s="682"/>
      <c r="V20" s="965" t="e">
        <f t="shared" si="4"/>
        <v>#DIV/0!</v>
      </c>
      <c r="W20" s="671"/>
      <c r="X20" s="685"/>
    </row>
    <row r="21" spans="1:24" ht="39" customHeight="1" thickBot="1" thickTop="1">
      <c r="A21" s="545" t="s">
        <v>21</v>
      </c>
      <c r="B21" s="546"/>
      <c r="C21" s="547">
        <f>SUM(C10:C18)</f>
        <v>2250000</v>
      </c>
      <c r="D21" s="547">
        <f>SUM(D10:D18)</f>
        <v>2250000</v>
      </c>
      <c r="E21" s="547">
        <f>SUM(E10:E18)</f>
        <v>2401000</v>
      </c>
      <c r="F21" s="547">
        <f>SUM(F10:F18)</f>
        <v>2564000</v>
      </c>
      <c r="G21" s="547">
        <f>SUM(G10:G18)</f>
        <v>1614000</v>
      </c>
      <c r="H21" s="967">
        <f t="shared" si="1"/>
        <v>0.6294851794071763</v>
      </c>
      <c r="I21" s="547">
        <f aca="true" t="shared" si="5" ref="I21:N21">SUM(I10:I18)</f>
        <v>0</v>
      </c>
      <c r="J21" s="547">
        <f t="shared" si="5"/>
        <v>2250000</v>
      </c>
      <c r="K21" s="547">
        <f t="shared" si="5"/>
        <v>2250000</v>
      </c>
      <c r="L21" s="547">
        <f t="shared" si="5"/>
        <v>2401000</v>
      </c>
      <c r="M21" s="547">
        <f t="shared" si="5"/>
        <v>2250000</v>
      </c>
      <c r="N21" s="547">
        <f t="shared" si="5"/>
        <v>1300000</v>
      </c>
      <c r="O21" s="967">
        <f t="shared" si="2"/>
        <v>0.5777777777777777</v>
      </c>
      <c r="P21" s="547">
        <f aca="true" t="shared" si="6" ref="P21:U21">SUM(P10:P18)</f>
        <v>0</v>
      </c>
      <c r="Q21" s="547">
        <f t="shared" si="6"/>
        <v>0</v>
      </c>
      <c r="R21" s="547">
        <v>0</v>
      </c>
      <c r="S21" s="547">
        <f t="shared" si="6"/>
        <v>0</v>
      </c>
      <c r="T21" s="547">
        <f t="shared" si="6"/>
        <v>314000</v>
      </c>
      <c r="U21" s="547">
        <f t="shared" si="6"/>
        <v>314000</v>
      </c>
      <c r="V21" s="967">
        <f t="shared" si="4"/>
        <v>1</v>
      </c>
      <c r="W21" s="548" t="e">
        <f>U21/R21</f>
        <v>#DIV/0!</v>
      </c>
      <c r="X21" s="685"/>
    </row>
    <row r="22" spans="1:24" ht="19.5" customHeight="1">
      <c r="A22" s="549"/>
      <c r="B22" s="549"/>
      <c r="C22" s="550"/>
      <c r="D22" s="550"/>
      <c r="E22" s="550"/>
      <c r="F22" s="550"/>
      <c r="G22" s="550"/>
      <c r="H22" s="550"/>
      <c r="I22" s="550"/>
      <c r="J22" s="550"/>
      <c r="K22" s="550"/>
      <c r="L22" s="550"/>
      <c r="M22" s="550"/>
      <c r="N22" s="550"/>
      <c r="O22" s="550"/>
      <c r="P22" s="550"/>
      <c r="Q22" s="550"/>
      <c r="V22" s="15"/>
      <c r="X22" s="551"/>
    </row>
    <row r="23" spans="1:17" ht="66" customHeight="1" hidden="1" thickBot="1">
      <c r="A23" s="1475" t="s">
        <v>384</v>
      </c>
      <c r="B23" s="1475"/>
      <c r="C23" s="1475"/>
      <c r="D23" s="1475"/>
      <c r="E23" s="1475"/>
      <c r="F23" s="1475"/>
      <c r="G23" s="1475"/>
      <c r="H23" s="1475"/>
      <c r="I23" s="1475"/>
      <c r="J23" s="1475"/>
      <c r="K23" s="1475"/>
      <c r="L23" s="1475"/>
      <c r="M23" s="1475"/>
      <c r="N23" s="1475"/>
      <c r="O23" s="1475"/>
      <c r="P23" s="1475"/>
      <c r="Q23" s="1475"/>
    </row>
    <row r="24" spans="1:24" ht="19.5" customHeight="1" hidden="1">
      <c r="A24" s="1476" t="s">
        <v>380</v>
      </c>
      <c r="B24" s="1479" t="s">
        <v>381</v>
      </c>
      <c r="C24" s="1482" t="s">
        <v>5</v>
      </c>
      <c r="D24" s="1483"/>
      <c r="E24" s="1483"/>
      <c r="F24" s="1483"/>
      <c r="G24" s="1483"/>
      <c r="H24" s="1483"/>
      <c r="I24" s="1484"/>
      <c r="J24" s="1482" t="s">
        <v>382</v>
      </c>
      <c r="K24" s="1483"/>
      <c r="L24" s="1483"/>
      <c r="M24" s="1483"/>
      <c r="N24" s="1483"/>
      <c r="O24" s="1483"/>
      <c r="P24" s="1484"/>
      <c r="Q24" s="1482" t="s">
        <v>26</v>
      </c>
      <c r="R24" s="1483"/>
      <c r="S24" s="1483"/>
      <c r="T24" s="1483"/>
      <c r="U24" s="1483"/>
      <c r="V24" s="1483"/>
      <c r="W24" s="1491"/>
      <c r="X24" s="532"/>
    </row>
    <row r="25" spans="1:24" ht="19.5" customHeight="1" hidden="1">
      <c r="A25" s="1477"/>
      <c r="B25" s="1480"/>
      <c r="C25" s="1485"/>
      <c r="D25" s="1486"/>
      <c r="E25" s="1486"/>
      <c r="F25" s="1486"/>
      <c r="G25" s="1486"/>
      <c r="H25" s="1486"/>
      <c r="I25" s="1487"/>
      <c r="J25" s="1485"/>
      <c r="K25" s="1486"/>
      <c r="L25" s="1486"/>
      <c r="M25" s="1486"/>
      <c r="N25" s="1486"/>
      <c r="O25" s="1486"/>
      <c r="P25" s="1487"/>
      <c r="Q25" s="1485"/>
      <c r="R25" s="1486"/>
      <c r="S25" s="1486"/>
      <c r="T25" s="1486"/>
      <c r="U25" s="1486"/>
      <c r="V25" s="1486"/>
      <c r="W25" s="1492"/>
      <c r="X25" s="532"/>
    </row>
    <row r="26" spans="1:24" ht="19.5" customHeight="1" hidden="1" thickBot="1">
      <c r="A26" s="1478"/>
      <c r="B26" s="1481"/>
      <c r="C26" s="1488"/>
      <c r="D26" s="1489"/>
      <c r="E26" s="1489"/>
      <c r="F26" s="1489"/>
      <c r="G26" s="1489"/>
      <c r="H26" s="1489"/>
      <c r="I26" s="1490"/>
      <c r="J26" s="1488"/>
      <c r="K26" s="1489"/>
      <c r="L26" s="1489"/>
      <c r="M26" s="1489"/>
      <c r="N26" s="1489"/>
      <c r="O26" s="1489"/>
      <c r="P26" s="1490"/>
      <c r="Q26" s="1488"/>
      <c r="R26" s="1489"/>
      <c r="S26" s="1489"/>
      <c r="T26" s="1489"/>
      <c r="U26" s="1489"/>
      <c r="V26" s="1489"/>
      <c r="W26" s="1493"/>
      <c r="X26" s="532"/>
    </row>
    <row r="27" spans="1:24" ht="57.75" customHeight="1" hidden="1" thickTop="1">
      <c r="A27" s="552"/>
      <c r="B27" s="553"/>
      <c r="C27" s="535" t="s">
        <v>65</v>
      </c>
      <c r="D27" s="535" t="s">
        <v>227</v>
      </c>
      <c r="E27" s="535" t="s">
        <v>230</v>
      </c>
      <c r="F27" s="534" t="s">
        <v>232</v>
      </c>
      <c r="G27" s="535" t="s">
        <v>244</v>
      </c>
      <c r="H27" s="535" t="s">
        <v>249</v>
      </c>
      <c r="I27" s="535" t="s">
        <v>236</v>
      </c>
      <c r="J27" s="535" t="s">
        <v>65</v>
      </c>
      <c r="K27" s="535" t="s">
        <v>227</v>
      </c>
      <c r="L27" s="535" t="s">
        <v>230</v>
      </c>
      <c r="M27" s="534" t="s">
        <v>232</v>
      </c>
      <c r="N27" s="535" t="s">
        <v>244</v>
      </c>
      <c r="O27" s="535" t="s">
        <v>249</v>
      </c>
      <c r="P27" s="535" t="s">
        <v>236</v>
      </c>
      <c r="Q27" s="535" t="s">
        <v>65</v>
      </c>
      <c r="R27" s="535" t="s">
        <v>227</v>
      </c>
      <c r="S27" s="535" t="s">
        <v>230</v>
      </c>
      <c r="T27" s="535" t="s">
        <v>232</v>
      </c>
      <c r="U27" s="535" t="s">
        <v>244</v>
      </c>
      <c r="V27" s="535" t="s">
        <v>249</v>
      </c>
      <c r="W27" s="536" t="s">
        <v>236</v>
      </c>
      <c r="X27" s="532"/>
    </row>
    <row r="28" spans="1:24" ht="34.5" customHeight="1" hidden="1">
      <c r="A28" s="554" t="s">
        <v>517</v>
      </c>
      <c r="B28" s="555" t="s">
        <v>207</v>
      </c>
      <c r="C28" s="539"/>
      <c r="D28" s="539"/>
      <c r="E28" s="539"/>
      <c r="F28" s="539"/>
      <c r="G28" s="539">
        <v>211000</v>
      </c>
      <c r="H28" s="539">
        <v>392000</v>
      </c>
      <c r="I28" s="541"/>
      <c r="J28" s="539"/>
      <c r="K28" s="539"/>
      <c r="L28" s="539"/>
      <c r="M28" s="539"/>
      <c r="N28" s="539">
        <v>211000</v>
      </c>
      <c r="O28" s="539">
        <v>392000</v>
      </c>
      <c r="P28" s="541"/>
      <c r="Q28" s="539"/>
      <c r="R28" s="539"/>
      <c r="S28" s="539"/>
      <c r="T28" s="539"/>
      <c r="U28" s="540"/>
      <c r="V28" s="540"/>
      <c r="W28" s="541" t="e">
        <f>U28/R28</f>
        <v>#DIV/0!</v>
      </c>
      <c r="X28" s="532"/>
    </row>
    <row r="29" spans="1:24" ht="15" hidden="1">
      <c r="A29" s="537" t="s">
        <v>385</v>
      </c>
      <c r="B29" s="538" t="s">
        <v>207</v>
      </c>
      <c r="C29" s="539"/>
      <c r="D29" s="539"/>
      <c r="E29" s="539"/>
      <c r="F29" s="539"/>
      <c r="G29" s="539"/>
      <c r="H29" s="539"/>
      <c r="I29" s="541"/>
      <c r="J29" s="539"/>
      <c r="K29" s="539"/>
      <c r="L29" s="539"/>
      <c r="M29" s="539"/>
      <c r="N29" s="539"/>
      <c r="O29" s="540"/>
      <c r="P29" s="541"/>
      <c r="Q29" s="540"/>
      <c r="R29" s="540"/>
      <c r="S29" s="540"/>
      <c r="T29" s="539"/>
      <c r="U29" s="539"/>
      <c r="V29" s="539"/>
      <c r="W29" s="541" t="e">
        <f>U29/R29</f>
        <v>#DIV/0!</v>
      </c>
      <c r="X29" s="532"/>
    </row>
    <row r="30" spans="1:24" ht="30.75" customHeight="1" hidden="1">
      <c r="A30" s="537" t="s">
        <v>386</v>
      </c>
      <c r="B30" s="538" t="s">
        <v>207</v>
      </c>
      <c r="C30" s="539"/>
      <c r="D30" s="539"/>
      <c r="E30" s="539"/>
      <c r="F30" s="539"/>
      <c r="G30" s="539"/>
      <c r="H30" s="539"/>
      <c r="I30" s="541"/>
      <c r="J30" s="539"/>
      <c r="K30" s="539"/>
      <c r="L30" s="539"/>
      <c r="M30" s="539"/>
      <c r="N30" s="539"/>
      <c r="O30" s="540"/>
      <c r="P30" s="541"/>
      <c r="Q30" s="540"/>
      <c r="R30" s="540"/>
      <c r="S30" s="540"/>
      <c r="T30" s="539"/>
      <c r="U30" s="539"/>
      <c r="V30" s="539"/>
      <c r="W30" s="541" t="e">
        <f>U30/R30</f>
        <v>#DIV/0!</v>
      </c>
      <c r="X30" s="532"/>
    </row>
    <row r="31" spans="1:24" ht="31.5" customHeight="1" hidden="1">
      <c r="A31" s="537" t="s">
        <v>387</v>
      </c>
      <c r="B31" s="538" t="s">
        <v>207</v>
      </c>
      <c r="C31" s="539"/>
      <c r="D31" s="539"/>
      <c r="E31" s="539"/>
      <c r="F31" s="539"/>
      <c r="G31" s="539"/>
      <c r="H31" s="539"/>
      <c r="I31" s="541"/>
      <c r="J31" s="539"/>
      <c r="K31" s="539"/>
      <c r="L31" s="539"/>
      <c r="M31" s="539"/>
      <c r="N31" s="539"/>
      <c r="O31" s="539"/>
      <c r="P31" s="541"/>
      <c r="Q31" s="540"/>
      <c r="R31" s="540"/>
      <c r="S31" s="540"/>
      <c r="T31" s="539"/>
      <c r="U31" s="539"/>
      <c r="V31" s="539"/>
      <c r="W31" s="541" t="e">
        <f>U31/R31</f>
        <v>#DIV/0!</v>
      </c>
      <c r="X31" s="532"/>
    </row>
    <row r="32" spans="1:24" ht="31.5" customHeight="1" hidden="1">
      <c r="A32" s="537" t="s">
        <v>388</v>
      </c>
      <c r="B32" s="538" t="s">
        <v>207</v>
      </c>
      <c r="C32" s="544"/>
      <c r="D32" s="544"/>
      <c r="E32" s="544"/>
      <c r="F32" s="544"/>
      <c r="G32" s="544"/>
      <c r="H32" s="544"/>
      <c r="I32" s="543" t="e">
        <f>G32/E32</f>
        <v>#DIV/0!</v>
      </c>
      <c r="J32" s="544"/>
      <c r="K32" s="544"/>
      <c r="L32" s="544"/>
      <c r="M32" s="544"/>
      <c r="N32" s="544"/>
      <c r="O32" s="675"/>
      <c r="P32" s="543" t="e">
        <f>N32/L32</f>
        <v>#DIV/0!</v>
      </c>
      <c r="Q32" s="544"/>
      <c r="R32" s="544"/>
      <c r="S32" s="544"/>
      <c r="T32" s="544"/>
      <c r="U32" s="544">
        <f>G32-N32</f>
        <v>0</v>
      </c>
      <c r="V32" s="675"/>
      <c r="W32" s="543" t="e">
        <f>U32/S32</f>
        <v>#DIV/0!</v>
      </c>
      <c r="X32" s="532"/>
    </row>
    <row r="33" spans="1:24" ht="27.75" customHeight="1" hidden="1">
      <c r="A33" s="537" t="s">
        <v>389</v>
      </c>
      <c r="B33" s="538" t="s">
        <v>207</v>
      </c>
      <c r="C33" s="544"/>
      <c r="D33" s="544"/>
      <c r="E33" s="544"/>
      <c r="F33" s="544"/>
      <c r="G33" s="544"/>
      <c r="H33" s="544"/>
      <c r="I33" s="543">
        <v>0</v>
      </c>
      <c r="J33" s="544"/>
      <c r="K33" s="544"/>
      <c r="L33" s="544"/>
      <c r="M33" s="544"/>
      <c r="N33" s="544"/>
      <c r="O33" s="675"/>
      <c r="P33" s="543">
        <v>0</v>
      </c>
      <c r="Q33" s="544"/>
      <c r="R33" s="544"/>
      <c r="S33" s="544"/>
      <c r="T33" s="544"/>
      <c r="U33" s="544">
        <f>G33-N33</f>
        <v>0</v>
      </c>
      <c r="V33" s="675"/>
      <c r="W33" s="543">
        <v>0</v>
      </c>
      <c r="X33" s="532"/>
    </row>
    <row r="34" spans="1:24" ht="33" customHeight="1" hidden="1" thickBot="1">
      <c r="A34" s="556" t="s">
        <v>390</v>
      </c>
      <c r="B34" s="557" t="s">
        <v>207</v>
      </c>
      <c r="C34" s="558"/>
      <c r="D34" s="558"/>
      <c r="E34" s="558"/>
      <c r="F34" s="558"/>
      <c r="G34" s="558"/>
      <c r="H34" s="558"/>
      <c r="I34" s="543">
        <v>0</v>
      </c>
      <c r="J34" s="558"/>
      <c r="K34" s="558"/>
      <c r="L34" s="558"/>
      <c r="M34" s="558"/>
      <c r="N34" s="558"/>
      <c r="O34" s="676"/>
      <c r="P34" s="543">
        <v>0</v>
      </c>
      <c r="Q34" s="558"/>
      <c r="R34" s="558"/>
      <c r="S34" s="558"/>
      <c r="T34" s="558"/>
      <c r="U34" s="558">
        <f>G34-N34</f>
        <v>0</v>
      </c>
      <c r="V34" s="676"/>
      <c r="W34" s="543">
        <v>0</v>
      </c>
      <c r="X34" s="532"/>
    </row>
    <row r="35" spans="1:24" ht="33" customHeight="1" hidden="1" thickBot="1" thickTop="1">
      <c r="A35" s="559"/>
      <c r="B35" s="560"/>
      <c r="C35" s="561"/>
      <c r="D35" s="561"/>
      <c r="E35" s="561"/>
      <c r="F35" s="561"/>
      <c r="G35" s="561"/>
      <c r="H35" s="561"/>
      <c r="I35" s="543">
        <v>0</v>
      </c>
      <c r="J35" s="561"/>
      <c r="K35" s="561"/>
      <c r="L35" s="561"/>
      <c r="M35" s="561"/>
      <c r="N35" s="561"/>
      <c r="O35" s="677"/>
      <c r="P35" s="543">
        <v>0</v>
      </c>
      <c r="Q35" s="561"/>
      <c r="R35" s="561"/>
      <c r="S35" s="561"/>
      <c r="T35" s="561"/>
      <c r="U35" s="561">
        <f>G35-N35</f>
        <v>0</v>
      </c>
      <c r="V35" s="677"/>
      <c r="W35" s="543">
        <v>0</v>
      </c>
      <c r="X35" s="532"/>
    </row>
    <row r="36" spans="1:24" ht="33" customHeight="1" hidden="1" thickBot="1" thickTop="1">
      <c r="A36" s="545" t="s">
        <v>21</v>
      </c>
      <c r="B36" s="546"/>
      <c r="C36" s="547">
        <f aca="true" t="shared" si="7" ref="C36:H36">SUM(C28:C34)</f>
        <v>0</v>
      </c>
      <c r="D36" s="547">
        <f t="shared" si="7"/>
        <v>0</v>
      </c>
      <c r="E36" s="547">
        <f t="shared" si="7"/>
        <v>0</v>
      </c>
      <c r="F36" s="547">
        <f t="shared" si="7"/>
        <v>0</v>
      </c>
      <c r="G36" s="547">
        <f t="shared" si="7"/>
        <v>211000</v>
      </c>
      <c r="H36" s="547">
        <f t="shared" si="7"/>
        <v>392000</v>
      </c>
      <c r="I36" s="548" t="e">
        <f>G36/D36</f>
        <v>#DIV/0!</v>
      </c>
      <c r="J36" s="547">
        <f aca="true" t="shared" si="8" ref="J36:O36">SUM(J28:J34)</f>
        <v>0</v>
      </c>
      <c r="K36" s="547">
        <f t="shared" si="8"/>
        <v>0</v>
      </c>
      <c r="L36" s="547">
        <f t="shared" si="8"/>
        <v>0</v>
      </c>
      <c r="M36" s="547">
        <f t="shared" si="8"/>
        <v>0</v>
      </c>
      <c r="N36" s="547">
        <f t="shared" si="8"/>
        <v>211000</v>
      </c>
      <c r="O36" s="547">
        <f t="shared" si="8"/>
        <v>392000</v>
      </c>
      <c r="P36" s="548" t="e">
        <f>N36/K36</f>
        <v>#DIV/0!</v>
      </c>
      <c r="Q36" s="547">
        <f aca="true" t="shared" si="9" ref="Q36:V36">SUM(Q28:Q34)</f>
        <v>0</v>
      </c>
      <c r="R36" s="547">
        <f t="shared" si="9"/>
        <v>0</v>
      </c>
      <c r="S36" s="547">
        <f t="shared" si="9"/>
        <v>0</v>
      </c>
      <c r="T36" s="547">
        <f t="shared" si="9"/>
        <v>0</v>
      </c>
      <c r="U36" s="547">
        <f t="shared" si="9"/>
        <v>0</v>
      </c>
      <c r="V36" s="547">
        <f t="shared" si="9"/>
        <v>0</v>
      </c>
      <c r="W36" s="548" t="e">
        <f>U36/R36</f>
        <v>#DIV/0!</v>
      </c>
      <c r="X36" s="532"/>
    </row>
    <row r="39" ht="12.75">
      <c r="K39" s="562"/>
    </row>
    <row r="40" ht="12.75">
      <c r="K40" s="562"/>
    </row>
    <row r="41" ht="12.75">
      <c r="K41" s="562"/>
    </row>
    <row r="42" ht="12.75">
      <c r="K42" s="562"/>
    </row>
  </sheetData>
  <sheetProtection/>
  <mergeCells count="15">
    <mergeCell ref="J1:U1"/>
    <mergeCell ref="A2:Q2"/>
    <mergeCell ref="A3:Q3"/>
    <mergeCell ref="A4:Q4"/>
    <mergeCell ref="A6:A8"/>
    <mergeCell ref="B6:B8"/>
    <mergeCell ref="C6:I8"/>
    <mergeCell ref="J6:P8"/>
    <mergeCell ref="Q6:W8"/>
    <mergeCell ref="A23:Q23"/>
    <mergeCell ref="A24:A26"/>
    <mergeCell ref="B24:B26"/>
    <mergeCell ref="C24:I26"/>
    <mergeCell ref="J24:P26"/>
    <mergeCell ref="Q24:W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5" r:id="rId1"/>
  <headerFooter alignWithMargins="0">
    <oddFooter>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0"/>
  <sheetViews>
    <sheetView zoomScale="70" zoomScaleNormal="70" workbookViewId="0" topLeftCell="A66">
      <pane xSplit="1" topLeftCell="B1" activePane="topRight" state="frozen"/>
      <selection pane="topLeft" activeCell="A1" sqref="A1"/>
      <selection pane="topRight" activeCell="A79" sqref="A79"/>
    </sheetView>
  </sheetViews>
  <sheetFormatPr defaultColWidth="9.140625" defaultRowHeight="12.75"/>
  <cols>
    <col min="1" max="1" width="53.00390625" style="242" customWidth="1"/>
    <col min="2" max="2" width="17.140625" style="8" bestFit="1" customWidth="1"/>
    <col min="3" max="3" width="17.140625" style="8" hidden="1" customWidth="1"/>
    <col min="4" max="4" width="16.421875" style="8" hidden="1" customWidth="1"/>
    <col min="5" max="5" width="16.421875" style="8" customWidth="1"/>
    <col min="6" max="6" width="15.7109375" style="8" customWidth="1"/>
    <col min="7" max="7" width="16.00390625" style="8" customWidth="1"/>
    <col min="8" max="8" width="16.00390625" style="8" hidden="1" customWidth="1"/>
    <col min="9" max="9" width="17.140625" style="8" customWidth="1"/>
    <col min="10" max="10" width="15.57421875" style="8" hidden="1" customWidth="1"/>
    <col min="11" max="11" width="15.7109375" style="8" hidden="1" customWidth="1"/>
    <col min="12" max="12" width="15.00390625" style="8" customWidth="1"/>
    <col min="13" max="13" width="17.421875" style="8" customWidth="1"/>
    <col min="14" max="14" width="17.28125" style="8" customWidth="1"/>
    <col min="15" max="15" width="14.57421875" style="8" hidden="1" customWidth="1"/>
    <col min="16" max="16" width="13.421875" style="8" hidden="1" customWidth="1"/>
    <col min="17" max="17" width="16.7109375" style="8" customWidth="1"/>
    <col min="18" max="18" width="8.421875" style="8" hidden="1" customWidth="1"/>
    <col min="19" max="19" width="10.140625" style="8" hidden="1" customWidth="1"/>
    <col min="20" max="20" width="11.7109375" style="8" customWidth="1"/>
    <col min="21" max="21" width="11.57421875" style="8" customWidth="1"/>
    <col min="22" max="22" width="17.57421875" style="8" customWidth="1"/>
    <col min="23" max="23" width="13.8515625" style="8" hidden="1" customWidth="1"/>
    <col min="24" max="24" width="14.8515625" style="8" hidden="1" customWidth="1"/>
    <col min="25" max="25" width="14.421875" style="8" customWidth="1"/>
    <col min="26" max="26" width="14.7109375" style="8" customWidth="1"/>
    <col min="27" max="27" width="14.421875" style="8" customWidth="1"/>
    <col min="28" max="28" width="15.421875" style="8" hidden="1" customWidth="1"/>
    <col min="29" max="29" width="15.28125" style="8" customWidth="1"/>
    <col min="30" max="16384" width="9.140625" style="8" customWidth="1"/>
  </cols>
  <sheetData>
    <row r="1" spans="17:26" ht="12.75" customHeight="1">
      <c r="Q1" s="1499" t="s">
        <v>909</v>
      </c>
      <c r="R1" s="1499"/>
      <c r="S1" s="1499"/>
      <c r="T1" s="1499"/>
      <c r="U1" s="1499"/>
      <c r="V1" s="1499"/>
      <c r="W1" s="1499"/>
      <c r="X1" s="1499"/>
      <c r="Y1" s="1499"/>
      <c r="Z1" s="1499"/>
    </row>
    <row r="2" spans="1:22" ht="19.5">
      <c r="A2" s="1527" t="s">
        <v>476</v>
      </c>
      <c r="B2" s="1527"/>
      <c r="C2" s="1527"/>
      <c r="D2" s="1527"/>
      <c r="E2" s="1527"/>
      <c r="F2" s="1527"/>
      <c r="G2" s="1527"/>
      <c r="H2" s="1527"/>
      <c r="I2" s="1527"/>
      <c r="J2" s="1527"/>
      <c r="K2" s="1527"/>
      <c r="L2" s="1527"/>
      <c r="M2" s="1527"/>
      <c r="N2" s="1527"/>
      <c r="O2" s="1527"/>
      <c r="P2" s="1527"/>
      <c r="Q2" s="1527"/>
      <c r="R2" s="1527"/>
      <c r="S2" s="1527"/>
      <c r="T2" s="1527"/>
      <c r="U2" s="1527"/>
      <c r="V2" s="1527"/>
    </row>
    <row r="3" spans="1:22" ht="15.75">
      <c r="A3" s="1453" t="s">
        <v>547</v>
      </c>
      <c r="B3" s="1453"/>
      <c r="C3" s="1453"/>
      <c r="D3" s="1453"/>
      <c r="E3" s="1453"/>
      <c r="F3" s="1453"/>
      <c r="G3" s="1453"/>
      <c r="H3" s="1453"/>
      <c r="I3" s="1453"/>
      <c r="J3" s="1453"/>
      <c r="K3" s="1453"/>
      <c r="L3" s="1453"/>
      <c r="M3" s="1453"/>
      <c r="N3" s="1453"/>
      <c r="O3" s="1453"/>
      <c r="P3" s="1453"/>
      <c r="Q3" s="1453"/>
      <c r="R3" s="1453"/>
      <c r="S3" s="1453"/>
      <c r="T3" s="1453"/>
      <c r="U3" s="1453"/>
      <c r="V3" s="1453"/>
    </row>
    <row r="4" spans="1:22" ht="14.25">
      <c r="A4" s="1528" t="s">
        <v>194</v>
      </c>
      <c r="B4" s="1528"/>
      <c r="C4" s="1528"/>
      <c r="D4" s="1528"/>
      <c r="E4" s="1528"/>
      <c r="F4" s="1528"/>
      <c r="G4" s="1528"/>
      <c r="H4" s="1528"/>
      <c r="I4" s="1528"/>
      <c r="J4" s="1528"/>
      <c r="K4" s="1528"/>
      <c r="L4" s="1528"/>
      <c r="M4" s="1528"/>
      <c r="N4" s="1528"/>
      <c r="O4" s="1528"/>
      <c r="P4" s="1528"/>
      <c r="Q4" s="1528"/>
      <c r="R4" s="1528"/>
      <c r="S4" s="1528"/>
      <c r="T4" s="1528"/>
      <c r="U4" s="1528"/>
      <c r="V4" s="1528"/>
    </row>
    <row r="5" spans="1:22" ht="14.25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46">
        <f>SUM(O11,O19)</f>
        <v>0</v>
      </c>
      <c r="P5" s="730"/>
      <c r="Q5" s="730"/>
      <c r="R5" s="730"/>
      <c r="S5" s="730"/>
      <c r="T5" s="730"/>
      <c r="U5" s="730"/>
      <c r="V5" s="730"/>
    </row>
    <row r="6" spans="1:22" ht="18.75" thickBot="1">
      <c r="A6" s="732" t="s">
        <v>477</v>
      </c>
      <c r="V6" s="9" t="s">
        <v>443</v>
      </c>
    </row>
    <row r="7" spans="1:29" ht="24.75" customHeight="1">
      <c r="A7" s="1517" t="s">
        <v>22</v>
      </c>
      <c r="B7" s="1519" t="s">
        <v>23</v>
      </c>
      <c r="C7" s="1520"/>
      <c r="D7" s="1520"/>
      <c r="E7" s="1520"/>
      <c r="F7" s="1520"/>
      <c r="G7" s="1520"/>
      <c r="H7" s="1520"/>
      <c r="I7" s="1520"/>
      <c r="J7" s="1520"/>
      <c r="K7" s="1520"/>
      <c r="L7" s="1520"/>
      <c r="M7" s="1520"/>
      <c r="N7" s="1520"/>
      <c r="O7" s="1520"/>
      <c r="P7" s="1520"/>
      <c r="Q7" s="1521" t="s">
        <v>24</v>
      </c>
      <c r="R7" s="1522"/>
      <c r="S7" s="1522"/>
      <c r="T7" s="1522"/>
      <c r="U7" s="1522"/>
      <c r="V7" s="1522"/>
      <c r="W7" s="1522"/>
      <c r="X7" s="1522"/>
      <c r="Y7" s="1522"/>
      <c r="Z7" s="1522"/>
      <c r="AA7" s="1519"/>
      <c r="AB7" s="1523"/>
      <c r="AC7" s="430"/>
    </row>
    <row r="8" spans="1:29" ht="24.75" customHeight="1">
      <c r="A8" s="1518"/>
      <c r="B8" s="1515" t="s">
        <v>63</v>
      </c>
      <c r="C8" s="1524"/>
      <c r="D8" s="1524"/>
      <c r="E8" s="1524"/>
      <c r="F8" s="1524"/>
      <c r="G8" s="1524"/>
      <c r="H8" s="1525"/>
      <c r="I8" s="1515" t="s">
        <v>64</v>
      </c>
      <c r="J8" s="1524"/>
      <c r="K8" s="1524"/>
      <c r="L8" s="1524"/>
      <c r="M8" s="1524"/>
      <c r="N8" s="1524"/>
      <c r="O8" s="1524"/>
      <c r="P8" s="1524"/>
      <c r="Q8" s="1526" t="s">
        <v>63</v>
      </c>
      <c r="R8" s="1514"/>
      <c r="S8" s="1514"/>
      <c r="T8" s="1514"/>
      <c r="U8" s="1514"/>
      <c r="V8" s="1514" t="s">
        <v>64</v>
      </c>
      <c r="W8" s="1514"/>
      <c r="X8" s="1514"/>
      <c r="Y8" s="1514"/>
      <c r="Z8" s="1514"/>
      <c r="AA8" s="1515"/>
      <c r="AB8" s="1516"/>
      <c r="AC8" s="430"/>
    </row>
    <row r="9" spans="1:29" ht="42" customHeight="1">
      <c r="A9" s="236"/>
      <c r="B9" s="237" t="s">
        <v>228</v>
      </c>
      <c r="C9" s="237" t="s">
        <v>226</v>
      </c>
      <c r="D9" s="431" t="s">
        <v>231</v>
      </c>
      <c r="E9" s="237" t="s">
        <v>233</v>
      </c>
      <c r="F9" s="237" t="s">
        <v>399</v>
      </c>
      <c r="G9" s="237" t="s">
        <v>431</v>
      </c>
      <c r="H9" s="237" t="s">
        <v>236</v>
      </c>
      <c r="I9" s="237" t="s">
        <v>228</v>
      </c>
      <c r="J9" s="657" t="s">
        <v>226</v>
      </c>
      <c r="K9" s="662" t="s">
        <v>231</v>
      </c>
      <c r="L9" s="663" t="s">
        <v>233</v>
      </c>
      <c r="M9" s="237" t="s">
        <v>399</v>
      </c>
      <c r="N9" s="237" t="s">
        <v>431</v>
      </c>
      <c r="O9" s="679" t="s">
        <v>399</v>
      </c>
      <c r="P9" s="663" t="s">
        <v>236</v>
      </c>
      <c r="Q9" s="658" t="s">
        <v>228</v>
      </c>
      <c r="R9" s="237" t="s">
        <v>226</v>
      </c>
      <c r="S9" s="431" t="s">
        <v>231</v>
      </c>
      <c r="T9" s="237" t="s">
        <v>233</v>
      </c>
      <c r="U9" s="237" t="s">
        <v>399</v>
      </c>
      <c r="V9" s="237" t="s">
        <v>228</v>
      </c>
      <c r="W9" s="237" t="s">
        <v>226</v>
      </c>
      <c r="X9" s="431" t="s">
        <v>231</v>
      </c>
      <c r="Y9" s="237" t="s">
        <v>233</v>
      </c>
      <c r="Z9" s="237" t="s">
        <v>399</v>
      </c>
      <c r="AA9" s="237" t="s">
        <v>431</v>
      </c>
      <c r="AB9" s="237" t="s">
        <v>236</v>
      </c>
      <c r="AC9" s="430"/>
    </row>
    <row r="10" spans="1:29" ht="18">
      <c r="A10" s="19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97"/>
      <c r="P10" s="636"/>
      <c r="Q10" s="298"/>
      <c r="R10" s="22"/>
      <c r="S10" s="22"/>
      <c r="T10" s="22"/>
      <c r="U10" s="22"/>
      <c r="V10" s="21"/>
      <c r="W10" s="21"/>
      <c r="X10" s="21"/>
      <c r="Y10" s="21"/>
      <c r="Z10" s="21"/>
      <c r="AA10" s="297"/>
      <c r="AB10" s="23"/>
      <c r="AC10" s="430"/>
    </row>
    <row r="11" spans="1:29" ht="18">
      <c r="A11" s="19" t="s">
        <v>590</v>
      </c>
      <c r="B11" s="21"/>
      <c r="C11" s="21"/>
      <c r="D11" s="21"/>
      <c r="E11" s="21"/>
      <c r="F11" s="21"/>
      <c r="G11" s="21"/>
      <c r="H11" s="21"/>
      <c r="I11" s="21">
        <v>4800000</v>
      </c>
      <c r="J11" s="21">
        <v>4800000</v>
      </c>
      <c r="K11" s="21">
        <v>4800000</v>
      </c>
      <c r="L11" s="21">
        <v>4800000</v>
      </c>
      <c r="M11" s="21">
        <v>4800000</v>
      </c>
      <c r="N11" s="968">
        <f>+M11/L11</f>
        <v>1</v>
      </c>
      <c r="O11" s="745"/>
      <c r="P11" s="636"/>
      <c r="Q11" s="298"/>
      <c r="R11" s="22"/>
      <c r="S11" s="22"/>
      <c r="T11" s="22"/>
      <c r="U11" s="22"/>
      <c r="V11" s="21"/>
      <c r="W11" s="21"/>
      <c r="X11" s="21"/>
      <c r="Y11" s="21"/>
      <c r="Z11" s="21"/>
      <c r="AA11" s="21"/>
      <c r="AB11" s="23"/>
      <c r="AC11" s="430"/>
    </row>
    <row r="12" spans="1:29" ht="18">
      <c r="A12" s="19" t="s">
        <v>496</v>
      </c>
      <c r="B12" s="21"/>
      <c r="C12" s="21"/>
      <c r="D12" s="21"/>
      <c r="E12" s="21"/>
      <c r="F12" s="21"/>
      <c r="G12" s="21"/>
      <c r="H12" s="21"/>
      <c r="I12" s="21">
        <v>1200000</v>
      </c>
      <c r="J12" s="21">
        <v>1200000</v>
      </c>
      <c r="K12" s="21">
        <v>1200000</v>
      </c>
      <c r="L12" s="21">
        <v>1200000</v>
      </c>
      <c r="M12" s="21">
        <v>1200000</v>
      </c>
      <c r="N12" s="968">
        <f>+M12/L12</f>
        <v>1</v>
      </c>
      <c r="O12" s="745"/>
      <c r="P12" s="636"/>
      <c r="Q12" s="298"/>
      <c r="R12" s="22"/>
      <c r="S12" s="22"/>
      <c r="T12" s="22"/>
      <c r="U12" s="22"/>
      <c r="V12" s="21"/>
      <c r="W12" s="21"/>
      <c r="X12" s="21"/>
      <c r="Y12" s="21"/>
      <c r="Z12" s="21"/>
      <c r="AA12" s="21"/>
      <c r="AB12" s="23"/>
      <c r="AC12" s="430"/>
    </row>
    <row r="13" spans="1:29" ht="30.75">
      <c r="A13" s="19" t="s">
        <v>510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968"/>
      <c r="O13" s="297"/>
      <c r="P13" s="297"/>
      <c r="Q13" s="298"/>
      <c r="R13" s="22"/>
      <c r="S13" s="22"/>
      <c r="T13" s="22"/>
      <c r="U13" s="22"/>
      <c r="V13" s="21"/>
      <c r="W13" s="21"/>
      <c r="X13" s="21"/>
      <c r="Y13" s="21"/>
      <c r="Z13" s="21"/>
      <c r="AA13" s="21"/>
      <c r="AB13" s="23"/>
      <c r="AC13" s="430"/>
    </row>
    <row r="14" spans="1:29" ht="18">
      <c r="A14" s="19" t="s">
        <v>216</v>
      </c>
      <c r="B14" s="21"/>
      <c r="C14" s="21"/>
      <c r="D14" s="21"/>
      <c r="E14" s="21"/>
      <c r="F14" s="21"/>
      <c r="G14" s="21"/>
      <c r="H14" s="21"/>
      <c r="I14" s="21">
        <v>65000</v>
      </c>
      <c r="J14" s="21">
        <v>65000</v>
      </c>
      <c r="K14" s="21">
        <v>65000</v>
      </c>
      <c r="L14" s="21">
        <v>65000</v>
      </c>
      <c r="M14" s="21">
        <v>65000</v>
      </c>
      <c r="N14" s="968">
        <f>+M14/L14</f>
        <v>1</v>
      </c>
      <c r="O14" s="297"/>
      <c r="P14" s="636"/>
      <c r="Q14" s="298"/>
      <c r="R14" s="22"/>
      <c r="S14" s="22"/>
      <c r="T14" s="22"/>
      <c r="U14" s="22"/>
      <c r="V14" s="21"/>
      <c r="W14" s="21"/>
      <c r="X14" s="21"/>
      <c r="Y14" s="21"/>
      <c r="Z14" s="21"/>
      <c r="AA14" s="21"/>
      <c r="AB14" s="23"/>
      <c r="AC14" s="430"/>
    </row>
    <row r="15" spans="1:29" ht="18">
      <c r="A15" s="19" t="s">
        <v>217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97"/>
      <c r="P15" s="636"/>
      <c r="Q15" s="298"/>
      <c r="R15" s="22"/>
      <c r="S15" s="22"/>
      <c r="T15" s="22"/>
      <c r="U15" s="22"/>
      <c r="V15" s="21"/>
      <c r="W15" s="21"/>
      <c r="X15" s="21"/>
      <c r="Y15" s="21"/>
      <c r="Z15" s="21"/>
      <c r="AA15" s="21"/>
      <c r="AB15" s="23"/>
      <c r="AC15" s="430"/>
    </row>
    <row r="16" spans="1:29" ht="18">
      <c r="A16" s="19" t="s">
        <v>218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97"/>
      <c r="P16" s="636"/>
      <c r="Q16" s="298"/>
      <c r="R16" s="22"/>
      <c r="S16" s="22"/>
      <c r="T16" s="22"/>
      <c r="U16" s="22"/>
      <c r="V16" s="21">
        <v>5000000</v>
      </c>
      <c r="W16" s="21">
        <v>5000000</v>
      </c>
      <c r="X16" s="21">
        <v>5000000</v>
      </c>
      <c r="Y16" s="21">
        <v>5000000</v>
      </c>
      <c r="Z16" s="21">
        <v>2250000</v>
      </c>
      <c r="AA16" s="968">
        <f>+Z16/Y16</f>
        <v>0.45</v>
      </c>
      <c r="AB16" s="636">
        <f>Z16/Y16</f>
        <v>0.45</v>
      </c>
      <c r="AC16" s="430"/>
    </row>
    <row r="17" spans="1:29" ht="33" customHeight="1">
      <c r="A17" s="19" t="s">
        <v>484</v>
      </c>
      <c r="B17" s="21"/>
      <c r="C17" s="21"/>
      <c r="D17" s="21"/>
      <c r="E17" s="21"/>
      <c r="F17" s="21"/>
      <c r="G17" s="21"/>
      <c r="H17" s="21"/>
      <c r="I17" s="21">
        <f>240495+511900+144000+4100530</f>
        <v>4996925</v>
      </c>
      <c r="J17" s="21">
        <f>240495+511900+144000+4100530-699549</f>
        <v>4297376</v>
      </c>
      <c r="K17" s="21">
        <f>240495+511900+144000+4100530-699549</f>
        <v>4297376</v>
      </c>
      <c r="L17" s="21">
        <f>SUM(L18:L40)</f>
        <v>2834000</v>
      </c>
      <c r="M17" s="21">
        <f>SUM(M18:M40)</f>
        <v>2834000</v>
      </c>
      <c r="N17" s="968">
        <f aca="true" t="shared" si="0" ref="N17:N36">+M17/L17</f>
        <v>1</v>
      </c>
      <c r="O17" s="21"/>
      <c r="P17" s="636"/>
      <c r="Q17" s="29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636"/>
      <c r="AC17" s="664"/>
    </row>
    <row r="18" spans="1:29" ht="17.25" customHeight="1">
      <c r="A18" s="495" t="s">
        <v>355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968"/>
      <c r="O18" s="297"/>
      <c r="P18" s="297"/>
      <c r="Q18" s="29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3"/>
      <c r="AC18" s="430"/>
    </row>
    <row r="19" spans="1:29" ht="17.25" customHeight="1">
      <c r="A19" s="495" t="s">
        <v>535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>
        <v>1009520</v>
      </c>
      <c r="M19" s="21">
        <v>1009520</v>
      </c>
      <c r="N19" s="968">
        <f t="shared" si="0"/>
        <v>1</v>
      </c>
      <c r="O19" s="297"/>
      <c r="P19" s="636"/>
      <c r="Q19" s="29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3"/>
      <c r="AC19" s="664"/>
    </row>
    <row r="20" spans="1:29" ht="17.25" customHeight="1">
      <c r="A20" s="495" t="s">
        <v>356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>
        <v>280000</v>
      </c>
      <c r="M20" s="21">
        <v>280000</v>
      </c>
      <c r="N20" s="968">
        <f t="shared" si="0"/>
        <v>1</v>
      </c>
      <c r="O20" s="297"/>
      <c r="P20" s="636"/>
      <c r="Q20" s="29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3"/>
      <c r="AC20" s="430"/>
    </row>
    <row r="21" spans="1:29" ht="17.25" customHeight="1">
      <c r="A21" s="495" t="s">
        <v>357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968"/>
      <c r="O21" s="297"/>
      <c r="P21" s="636"/>
      <c r="Q21" s="29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3"/>
      <c r="AC21" s="430"/>
    </row>
    <row r="22" spans="1:29" ht="17.25" customHeight="1">
      <c r="A22" s="495" t="s">
        <v>358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>
        <v>398000</v>
      </c>
      <c r="M22" s="21">
        <v>398000</v>
      </c>
      <c r="N22" s="968">
        <f t="shared" si="0"/>
        <v>1</v>
      </c>
      <c r="O22" s="297"/>
      <c r="P22" s="636"/>
      <c r="Q22" s="29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3"/>
      <c r="AC22" s="430"/>
    </row>
    <row r="23" spans="1:29" ht="17.25" customHeight="1">
      <c r="A23" s="495" t="s">
        <v>430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>
        <v>110000</v>
      </c>
      <c r="M23" s="21">
        <v>110000</v>
      </c>
      <c r="N23" s="968">
        <f t="shared" si="0"/>
        <v>1</v>
      </c>
      <c r="O23" s="297"/>
      <c r="P23" s="636"/>
      <c r="Q23" s="29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3"/>
      <c r="AC23" s="430"/>
    </row>
    <row r="24" spans="1:29" ht="17.25" customHeight="1">
      <c r="A24" s="495" t="s">
        <v>362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>
        <v>10000</v>
      </c>
      <c r="M24" s="21">
        <v>10000</v>
      </c>
      <c r="N24" s="968">
        <f t="shared" si="0"/>
        <v>1</v>
      </c>
      <c r="O24" s="297"/>
      <c r="P24" s="636"/>
      <c r="Q24" s="29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3"/>
      <c r="AC24" s="430"/>
    </row>
    <row r="25" spans="1:29" ht="30" customHeight="1">
      <c r="A25" s="495" t="s">
        <v>680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>
        <v>200000</v>
      </c>
      <c r="M25" s="21">
        <v>200000</v>
      </c>
      <c r="N25" s="968">
        <f t="shared" si="0"/>
        <v>1</v>
      </c>
      <c r="O25" s="297"/>
      <c r="P25" s="636"/>
      <c r="Q25" s="29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3"/>
      <c r="AC25" s="430"/>
    </row>
    <row r="26" spans="1:29" ht="30" customHeight="1">
      <c r="A26" s="495" t="s">
        <v>683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>
        <v>300000</v>
      </c>
      <c r="M26" s="21">
        <v>300000</v>
      </c>
      <c r="N26" s="968">
        <f t="shared" si="0"/>
        <v>1</v>
      </c>
      <c r="O26" s="297"/>
      <c r="P26" s="636"/>
      <c r="Q26" s="299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3"/>
      <c r="AC26" s="430"/>
    </row>
    <row r="27" spans="1:29" ht="17.25" customHeight="1">
      <c r="A27" s="495" t="s">
        <v>359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>
        <v>40000</v>
      </c>
      <c r="M27" s="21">
        <v>40000</v>
      </c>
      <c r="N27" s="968">
        <f t="shared" si="0"/>
        <v>1</v>
      </c>
      <c r="O27" s="297"/>
      <c r="P27" s="636"/>
      <c r="Q27" s="299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3"/>
      <c r="AC27" s="430"/>
    </row>
    <row r="28" spans="1:29" ht="17.25" customHeight="1">
      <c r="A28" s="495" t="s">
        <v>428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968"/>
      <c r="O28" s="297"/>
      <c r="P28" s="636"/>
      <c r="Q28" s="299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3"/>
      <c r="AC28" s="430"/>
    </row>
    <row r="29" spans="1:29" ht="17.25" customHeight="1">
      <c r="A29" s="495" t="s">
        <v>701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>
        <v>30000</v>
      </c>
      <c r="M29" s="21">
        <v>30000</v>
      </c>
      <c r="N29" s="968">
        <f t="shared" si="0"/>
        <v>1</v>
      </c>
      <c r="O29" s="297"/>
      <c r="P29" s="636"/>
      <c r="Q29" s="299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3"/>
      <c r="AC29" s="430"/>
    </row>
    <row r="30" spans="1:29" ht="17.25" customHeight="1">
      <c r="A30" s="495" t="s">
        <v>702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968"/>
      <c r="O30" s="297"/>
      <c r="P30" s="636"/>
      <c r="Q30" s="299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3"/>
      <c r="AC30" s="430"/>
    </row>
    <row r="31" spans="1:29" ht="17.25" customHeight="1">
      <c r="A31" s="495" t="s">
        <v>360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968"/>
      <c r="O31" s="297"/>
      <c r="P31" s="636"/>
      <c r="Q31" s="299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3"/>
      <c r="AC31" s="430"/>
    </row>
    <row r="32" spans="1:29" ht="17.25" customHeight="1">
      <c r="A32" s="495" t="s">
        <v>532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>
        <f>3120+3120+3120+3120</f>
        <v>12480</v>
      </c>
      <c r="M32" s="21">
        <f>3120+3120+3120+3120</f>
        <v>12480</v>
      </c>
      <c r="N32" s="968">
        <f t="shared" si="0"/>
        <v>1</v>
      </c>
      <c r="O32" s="297"/>
      <c r="P32" s="636"/>
      <c r="Q32" s="299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3"/>
      <c r="AC32" s="430"/>
    </row>
    <row r="33" spans="1:29" ht="17.25" customHeight="1">
      <c r="A33" s="495" t="s">
        <v>483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968"/>
      <c r="O33" s="297"/>
      <c r="P33" s="636"/>
      <c r="Q33" s="299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3"/>
      <c r="AC33" s="430"/>
    </row>
    <row r="34" spans="1:29" ht="17.25" customHeight="1">
      <c r="A34" s="495" t="s">
        <v>534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>
        <v>30000</v>
      </c>
      <c r="M34" s="21">
        <v>30000</v>
      </c>
      <c r="N34" s="968">
        <f t="shared" si="0"/>
        <v>1</v>
      </c>
      <c r="O34" s="297"/>
      <c r="P34" s="636"/>
      <c r="Q34" s="299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3"/>
      <c r="AC34" s="430"/>
    </row>
    <row r="35" spans="1:29" ht="17.25" customHeight="1">
      <c r="A35" s="495" t="s">
        <v>536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>
        <v>144000</v>
      </c>
      <c r="M35" s="21">
        <v>144000</v>
      </c>
      <c r="N35" s="968">
        <f t="shared" si="0"/>
        <v>1</v>
      </c>
      <c r="O35" s="297"/>
      <c r="P35" s="636"/>
      <c r="Q35" s="299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3"/>
      <c r="AC35" s="430"/>
    </row>
    <row r="36" spans="1:29" ht="17.25" customHeight="1">
      <c r="A36" s="495" t="s">
        <v>483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>
        <v>50000</v>
      </c>
      <c r="M36" s="21">
        <v>50000</v>
      </c>
      <c r="N36" s="968">
        <f t="shared" si="0"/>
        <v>1</v>
      </c>
      <c r="O36" s="297"/>
      <c r="P36" s="636"/>
      <c r="Q36" s="299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3"/>
      <c r="AC36" s="430"/>
    </row>
    <row r="37" spans="1:29" ht="17.25" customHeight="1">
      <c r="A37" s="495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968"/>
      <c r="O37" s="297"/>
      <c r="P37" s="636"/>
      <c r="Q37" s="299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3"/>
      <c r="AC37" s="430"/>
    </row>
    <row r="38" spans="1:29" ht="17.25" customHeight="1">
      <c r="A38" s="495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97"/>
      <c r="P38" s="636"/>
      <c r="Q38" s="299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3"/>
      <c r="AC38" s="430"/>
    </row>
    <row r="39" spans="1:29" ht="17.25" customHeight="1">
      <c r="A39" s="495" t="s">
        <v>439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>
        <v>220000</v>
      </c>
      <c r="M39" s="21">
        <v>220000</v>
      </c>
      <c r="N39" s="968">
        <f>+M39/L39</f>
        <v>1</v>
      </c>
      <c r="O39" s="297"/>
      <c r="P39" s="636"/>
      <c r="Q39" s="29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3"/>
      <c r="AC39" s="430"/>
    </row>
    <row r="40" spans="1:29" ht="17.25" customHeight="1">
      <c r="A40" s="495" t="s">
        <v>429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636"/>
      <c r="Q40" s="299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3"/>
      <c r="AC40" s="430"/>
    </row>
    <row r="41" spans="1:29" ht="17.25" customHeight="1">
      <c r="A41" s="19" t="s">
        <v>485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>
        <f>SUM(L42:L44)</f>
        <v>360000</v>
      </c>
      <c r="M41" s="21">
        <f>SUM(M42:M44)</f>
        <v>360000</v>
      </c>
      <c r="N41" s="968">
        <f>+M41/L41</f>
        <v>1</v>
      </c>
      <c r="O41" s="21"/>
      <c r="P41" s="636"/>
      <c r="Q41" s="299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3"/>
      <c r="AC41" s="430"/>
    </row>
    <row r="42" spans="1:29" ht="17.25" customHeight="1">
      <c r="A42" s="495" t="s">
        <v>355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>
        <v>20000</v>
      </c>
      <c r="M42" s="21">
        <v>20000</v>
      </c>
      <c r="N42" s="968">
        <f>+M42/L42</f>
        <v>1</v>
      </c>
      <c r="O42" s="21"/>
      <c r="P42" s="636"/>
      <c r="Q42" s="299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3"/>
      <c r="AC42" s="664"/>
    </row>
    <row r="43" spans="1:29" ht="17.25" customHeight="1">
      <c r="A43" s="495" t="s">
        <v>482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>
        <v>70000</v>
      </c>
      <c r="M43" s="21">
        <v>70000</v>
      </c>
      <c r="N43" s="968">
        <f>+M43/L43</f>
        <v>1</v>
      </c>
      <c r="O43" s="21"/>
      <c r="P43" s="636"/>
      <c r="Q43" s="299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3"/>
      <c r="AC43" s="430"/>
    </row>
    <row r="44" spans="1:29" ht="17.25" customHeight="1">
      <c r="A44" s="495" t="s">
        <v>361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>
        <v>270000</v>
      </c>
      <c r="M44" s="21">
        <v>270000</v>
      </c>
      <c r="N44" s="968">
        <f>+M44/L44</f>
        <v>1</v>
      </c>
      <c r="O44" s="21"/>
      <c r="P44" s="636"/>
      <c r="Q44" s="299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3"/>
      <c r="AC44" s="430"/>
    </row>
    <row r="45" spans="1:29" ht="17.25" customHeight="1">
      <c r="A45" s="495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97"/>
      <c r="P45" s="636"/>
      <c r="Q45" s="299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3"/>
      <c r="AC45" s="430"/>
    </row>
    <row r="46" spans="1:29" ht="17.25" customHeight="1">
      <c r="A46" s="814" t="s">
        <v>430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97"/>
      <c r="P46" s="636"/>
      <c r="Q46" s="299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3"/>
      <c r="AC46" s="430"/>
    </row>
    <row r="47" spans="1:29" ht="17.25" customHeight="1">
      <c r="A47" s="814" t="s">
        <v>682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>
        <v>8000</v>
      </c>
      <c r="M47" s="21">
        <v>8000</v>
      </c>
      <c r="N47" s="968">
        <f>+M47/L47</f>
        <v>1</v>
      </c>
      <c r="O47" s="297"/>
      <c r="P47" s="636"/>
      <c r="Q47" s="299"/>
      <c r="R47" s="21"/>
      <c r="S47" s="21"/>
      <c r="T47" s="21"/>
      <c r="U47" s="21"/>
      <c r="Z47" s="21"/>
      <c r="AA47" s="968"/>
      <c r="AB47" s="23"/>
      <c r="AC47" s="430"/>
    </row>
    <row r="48" spans="1:29" ht="17.25" customHeight="1">
      <c r="A48" s="495" t="s">
        <v>701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968"/>
      <c r="O48" s="297"/>
      <c r="P48" s="636"/>
      <c r="Q48" s="299"/>
      <c r="R48" s="21"/>
      <c r="S48" s="21"/>
      <c r="T48" s="21"/>
      <c r="U48" s="21"/>
      <c r="V48" s="21">
        <v>2500000</v>
      </c>
      <c r="W48" s="21">
        <v>2500000</v>
      </c>
      <c r="X48" s="21">
        <v>2500000</v>
      </c>
      <c r="Y48" s="21">
        <v>2500000</v>
      </c>
      <c r="Z48" s="21">
        <v>2500000</v>
      </c>
      <c r="AA48" s="968">
        <f>+Z48/Y48</f>
        <v>1</v>
      </c>
      <c r="AB48" s="23"/>
      <c r="AC48" s="430"/>
    </row>
    <row r="49" spans="1:29" ht="17.25" customHeight="1">
      <c r="A49" s="19" t="s">
        <v>533</v>
      </c>
      <c r="B49" s="21"/>
      <c r="C49" s="21"/>
      <c r="D49" s="21"/>
      <c r="E49" s="21"/>
      <c r="F49" s="21"/>
      <c r="G49" s="21"/>
      <c r="H49" s="21"/>
      <c r="I49" s="21">
        <v>200000</v>
      </c>
      <c r="J49" s="21">
        <v>200000</v>
      </c>
      <c r="K49" s="21">
        <v>200000</v>
      </c>
      <c r="L49" s="21"/>
      <c r="M49" s="21"/>
      <c r="N49" s="21"/>
      <c r="O49" s="297"/>
      <c r="P49" s="636"/>
      <c r="Q49" s="299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3"/>
      <c r="AC49" s="430"/>
    </row>
    <row r="50" spans="1:29" ht="17.25" customHeight="1">
      <c r="A50" s="19" t="s">
        <v>681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>
        <v>66450</v>
      </c>
      <c r="M50" s="21">
        <v>66450</v>
      </c>
      <c r="N50" s="968">
        <f>+M50/L50</f>
        <v>1</v>
      </c>
      <c r="O50" s="297"/>
      <c r="P50" s="636"/>
      <c r="Q50" s="299"/>
      <c r="R50" s="21"/>
      <c r="S50" s="21"/>
      <c r="T50" s="21"/>
      <c r="U50" s="21"/>
      <c r="V50" s="21"/>
      <c r="W50" s="21"/>
      <c r="X50" s="21"/>
      <c r="Y50" s="21"/>
      <c r="Z50" s="21"/>
      <c r="AA50" s="968"/>
      <c r="AB50" s="23"/>
      <c r="AC50" s="430"/>
    </row>
    <row r="51" spans="1:29" ht="17.25" customHeight="1">
      <c r="A51" s="19" t="s">
        <v>507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97"/>
      <c r="P51" s="636"/>
      <c r="Q51" s="299"/>
      <c r="R51" s="21"/>
      <c r="S51" s="21"/>
      <c r="T51" s="21"/>
      <c r="U51" s="21"/>
      <c r="V51" s="21"/>
      <c r="W51" s="21">
        <v>1000000</v>
      </c>
      <c r="X51" s="21">
        <v>1000000</v>
      </c>
      <c r="Y51" s="21">
        <v>1000000</v>
      </c>
      <c r="Z51" s="21">
        <v>1000000</v>
      </c>
      <c r="AA51" s="968">
        <f>+Z51/Y51</f>
        <v>1</v>
      </c>
      <c r="AB51" s="23"/>
      <c r="AC51" s="430"/>
    </row>
    <row r="52" spans="1:29" ht="17.25" customHeight="1">
      <c r="A52" s="19" t="s">
        <v>508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97"/>
      <c r="P52" s="636"/>
      <c r="Q52" s="299"/>
      <c r="R52" s="21"/>
      <c r="S52" s="21"/>
      <c r="T52" s="21"/>
      <c r="U52" s="21"/>
      <c r="V52" s="21"/>
      <c r="W52" s="21">
        <v>1000000</v>
      </c>
      <c r="X52" s="21">
        <v>1000000</v>
      </c>
      <c r="Y52" s="21">
        <v>1000000</v>
      </c>
      <c r="Z52" s="21">
        <v>1000000</v>
      </c>
      <c r="AA52" s="968">
        <f>+Z52/Y52</f>
        <v>1</v>
      </c>
      <c r="AB52" s="23"/>
      <c r="AC52" s="430"/>
    </row>
    <row r="53" spans="1:29" ht="17.25" customHeight="1">
      <c r="A53" s="19" t="s">
        <v>511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97"/>
      <c r="P53" s="297"/>
      <c r="Q53" s="299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3"/>
      <c r="AC53" s="430"/>
    </row>
    <row r="54" spans="1:29" ht="17.25" customHeight="1">
      <c r="A54" s="19" t="s">
        <v>512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97"/>
      <c r="P54" s="297"/>
      <c r="Q54" s="299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3"/>
      <c r="AC54" s="430"/>
    </row>
    <row r="55" spans="1:29" ht="39.75" customHeight="1">
      <c r="A55" s="19" t="s">
        <v>537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97"/>
      <c r="P55" s="636"/>
      <c r="Q55" s="299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3"/>
      <c r="AC55" s="430"/>
    </row>
    <row r="56" spans="1:29" ht="36.75" customHeight="1">
      <c r="A56" s="19" t="s">
        <v>518</v>
      </c>
      <c r="B56" s="21"/>
      <c r="C56" s="21"/>
      <c r="D56" s="21"/>
      <c r="E56" s="21"/>
      <c r="F56" s="21"/>
      <c r="G56" s="21"/>
      <c r="H56" s="21"/>
      <c r="I56" s="21"/>
      <c r="J56" s="21">
        <v>20000</v>
      </c>
      <c r="K56" s="21">
        <v>20000</v>
      </c>
      <c r="L56" s="21">
        <v>20000</v>
      </c>
      <c r="M56" s="21">
        <v>20000</v>
      </c>
      <c r="N56" s="968">
        <f>+M56/L56</f>
        <v>1</v>
      </c>
      <c r="O56" s="297"/>
      <c r="P56" s="636"/>
      <c r="Q56" s="299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3"/>
      <c r="AC56" s="430"/>
    </row>
    <row r="57" spans="1:29" ht="30.75">
      <c r="A57" s="19" t="s">
        <v>592</v>
      </c>
      <c r="B57" s="21"/>
      <c r="C57" s="21"/>
      <c r="D57" s="21"/>
      <c r="E57" s="21"/>
      <c r="F57" s="21"/>
      <c r="G57" s="21"/>
      <c r="H57" s="21"/>
      <c r="I57" s="21">
        <v>20000</v>
      </c>
      <c r="J57" s="21">
        <v>20000</v>
      </c>
      <c r="K57" s="21">
        <v>20000</v>
      </c>
      <c r="L57" s="21">
        <v>20000</v>
      </c>
      <c r="M57" s="21">
        <v>20000</v>
      </c>
      <c r="N57" s="968">
        <f>+M57/L57</f>
        <v>1</v>
      </c>
      <c r="O57" s="297"/>
      <c r="P57" s="636"/>
      <c r="Q57" s="299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3"/>
      <c r="AC57" s="430"/>
    </row>
    <row r="58" spans="1:29" ht="18">
      <c r="A58" s="39" t="s">
        <v>646</v>
      </c>
      <c r="B58" s="21"/>
      <c r="C58" s="21"/>
      <c r="D58" s="21"/>
      <c r="E58" s="21"/>
      <c r="F58" s="21"/>
      <c r="G58" s="21"/>
      <c r="H58" s="21"/>
      <c r="I58" s="21"/>
      <c r="J58" s="21">
        <v>240000</v>
      </c>
      <c r="K58" s="21">
        <v>240000</v>
      </c>
      <c r="L58" s="21">
        <v>240000</v>
      </c>
      <c r="M58" s="21">
        <v>240000</v>
      </c>
      <c r="N58" s="968">
        <f>+M58/L58</f>
        <v>1</v>
      </c>
      <c r="O58" s="297"/>
      <c r="P58" s="636"/>
      <c r="Q58" s="299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3"/>
      <c r="AC58" s="430"/>
    </row>
    <row r="59" spans="1:29" ht="18">
      <c r="A59" s="39" t="s">
        <v>662</v>
      </c>
      <c r="B59" s="21"/>
      <c r="C59" s="21"/>
      <c r="D59" s="21"/>
      <c r="E59" s="21"/>
      <c r="F59" s="21"/>
      <c r="G59" s="21"/>
      <c r="H59" s="21"/>
      <c r="I59" s="21"/>
      <c r="J59" s="21"/>
      <c r="K59" s="21">
        <v>30000</v>
      </c>
      <c r="L59" s="21">
        <v>30000</v>
      </c>
      <c r="M59" s="21">
        <v>30000</v>
      </c>
      <c r="N59" s="968">
        <f>+M59/L59</f>
        <v>1</v>
      </c>
      <c r="O59" s="297"/>
      <c r="P59" s="636"/>
      <c r="Q59" s="299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3"/>
      <c r="AC59" s="430"/>
    </row>
    <row r="60" spans="1:29" ht="30.75">
      <c r="A60" s="19" t="s">
        <v>663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97"/>
      <c r="P60" s="636"/>
      <c r="Q60" s="299"/>
      <c r="R60" s="21"/>
      <c r="S60" s="21"/>
      <c r="T60" s="21"/>
      <c r="U60" s="21"/>
      <c r="V60" s="21"/>
      <c r="W60" s="21"/>
      <c r="X60" s="21">
        <v>636387</v>
      </c>
      <c r="Y60" s="21">
        <v>636387</v>
      </c>
      <c r="Z60" s="21">
        <v>636387</v>
      </c>
      <c r="AA60" s="968">
        <f>+Z60/Y60</f>
        <v>1</v>
      </c>
      <c r="AB60" s="23"/>
      <c r="AC60" s="430"/>
    </row>
    <row r="61" spans="1:28" ht="23.25" customHeight="1" thickBot="1">
      <c r="A61" s="832" t="s">
        <v>1</v>
      </c>
      <c r="B61" s="24">
        <f aca="true" t="shared" si="1" ref="B61:I61">SUM(B10:B60)</f>
        <v>0</v>
      </c>
      <c r="C61" s="24">
        <f t="shared" si="1"/>
        <v>0</v>
      </c>
      <c r="D61" s="24">
        <f t="shared" si="1"/>
        <v>0</v>
      </c>
      <c r="E61" s="24">
        <f t="shared" si="1"/>
        <v>0</v>
      </c>
      <c r="F61" s="24">
        <f t="shared" si="1"/>
        <v>0</v>
      </c>
      <c r="G61" s="24">
        <f t="shared" si="1"/>
        <v>0</v>
      </c>
      <c r="H61" s="24">
        <f t="shared" si="1"/>
        <v>0</v>
      </c>
      <c r="I61" s="24">
        <f t="shared" si="1"/>
        <v>11281925</v>
      </c>
      <c r="J61" s="24">
        <f>SUM(J10:J60)</f>
        <v>10842376</v>
      </c>
      <c r="K61" s="24">
        <f>SUM(K10:K60)</f>
        <v>10872376</v>
      </c>
      <c r="L61" s="24">
        <f>SUM(L10:L17,L41,L46:L60)</f>
        <v>9643450</v>
      </c>
      <c r="M61" s="24">
        <f>SUM(M10:M17,M41,M46:M60)</f>
        <v>9643450</v>
      </c>
      <c r="N61" s="970">
        <f>+M61/L61</f>
        <v>1</v>
      </c>
      <c r="O61" s="24">
        <f>SUM(O10:O17,O41,O47:O54)</f>
        <v>0</v>
      </c>
      <c r="P61" s="833">
        <f>M61/L61</f>
        <v>1</v>
      </c>
      <c r="Q61" s="834">
        <f aca="true" t="shared" si="2" ref="Q61:AB61">SUM(Q10:Q60)</f>
        <v>0</v>
      </c>
      <c r="R61" s="24">
        <f t="shared" si="2"/>
        <v>0</v>
      </c>
      <c r="S61" s="24">
        <f t="shared" si="2"/>
        <v>0</v>
      </c>
      <c r="T61" s="24">
        <f t="shared" si="2"/>
        <v>0</v>
      </c>
      <c r="U61" s="24">
        <f t="shared" si="2"/>
        <v>0</v>
      </c>
      <c r="V61" s="24">
        <f t="shared" si="2"/>
        <v>7500000</v>
      </c>
      <c r="W61" s="24">
        <f t="shared" si="2"/>
        <v>9500000</v>
      </c>
      <c r="X61" s="24">
        <f t="shared" si="2"/>
        <v>10136387</v>
      </c>
      <c r="Y61" s="24">
        <f t="shared" si="2"/>
        <v>10136387</v>
      </c>
      <c r="Z61" s="24">
        <f>SUM(Z10:Z60)</f>
        <v>7386387</v>
      </c>
      <c r="AA61" s="970">
        <f>+Z61/Y61</f>
        <v>0.7287001768973501</v>
      </c>
      <c r="AB61" s="24">
        <f t="shared" si="2"/>
        <v>0.45</v>
      </c>
    </row>
    <row r="62" spans="1:28" ht="15">
      <c r="A62" s="835"/>
      <c r="B62" s="836"/>
      <c r="C62" s="836"/>
      <c r="D62" s="836"/>
      <c r="E62" s="836"/>
      <c r="F62" s="836"/>
      <c r="G62" s="836"/>
      <c r="H62" s="836"/>
      <c r="I62" s="749"/>
      <c r="J62" s="749"/>
      <c r="K62" s="749"/>
      <c r="L62" s="749"/>
      <c r="M62" s="749"/>
      <c r="N62" s="749"/>
      <c r="O62" s="749"/>
      <c r="P62" s="749"/>
      <c r="Q62" s="749"/>
      <c r="R62" s="836"/>
      <c r="S62" s="836"/>
      <c r="T62" s="836"/>
      <c r="U62" s="836"/>
      <c r="V62" s="749"/>
      <c r="X62" s="295"/>
      <c r="Z62" s="295"/>
      <c r="AA62" s="295"/>
      <c r="AB62" s="295"/>
    </row>
    <row r="63" spans="1:24" ht="14.25">
      <c r="A63" s="1500" t="s">
        <v>221</v>
      </c>
      <c r="B63" s="1500"/>
      <c r="C63" s="1500"/>
      <c r="D63" s="1500"/>
      <c r="E63" s="1500"/>
      <c r="F63" s="1500"/>
      <c r="G63" s="1500"/>
      <c r="H63" s="1500"/>
      <c r="I63" s="1500"/>
      <c r="J63" s="1500"/>
      <c r="K63" s="1500"/>
      <c r="L63" s="1500"/>
      <c r="M63" s="1500"/>
      <c r="N63" s="1500"/>
      <c r="O63" s="1500"/>
      <c r="P63" s="1500"/>
      <c r="Q63" s="1500"/>
      <c r="R63" s="1500"/>
      <c r="S63" s="1500"/>
      <c r="T63" s="1500"/>
      <c r="U63" s="1500"/>
      <c r="V63" s="1500"/>
      <c r="X63" s="295"/>
    </row>
    <row r="64" ht="13.5" thickBot="1">
      <c r="V64" s="9"/>
    </row>
    <row r="65" spans="1:29" ht="29.25" customHeight="1">
      <c r="A65" s="1517" t="s">
        <v>220</v>
      </c>
      <c r="B65" s="1519" t="s">
        <v>23</v>
      </c>
      <c r="C65" s="1520"/>
      <c r="D65" s="1520"/>
      <c r="E65" s="1520"/>
      <c r="F65" s="1520"/>
      <c r="G65" s="1520"/>
      <c r="H65" s="1520"/>
      <c r="I65" s="1520"/>
      <c r="J65" s="1520"/>
      <c r="K65" s="1520"/>
      <c r="L65" s="1520"/>
      <c r="M65" s="1520"/>
      <c r="N65" s="1520"/>
      <c r="O65" s="1520"/>
      <c r="P65" s="1520"/>
      <c r="Q65" s="1521" t="s">
        <v>24</v>
      </c>
      <c r="R65" s="1522"/>
      <c r="S65" s="1522"/>
      <c r="T65" s="1522"/>
      <c r="U65" s="1522"/>
      <c r="V65" s="1522"/>
      <c r="W65" s="1522"/>
      <c r="X65" s="1522"/>
      <c r="Y65" s="1522"/>
      <c r="Z65" s="1522"/>
      <c r="AA65" s="1519"/>
      <c r="AB65" s="1523"/>
      <c r="AC65" s="430"/>
    </row>
    <row r="66" spans="1:29" ht="29.25" customHeight="1">
      <c r="A66" s="1518"/>
      <c r="B66" s="1515" t="s">
        <v>63</v>
      </c>
      <c r="C66" s="1524"/>
      <c r="D66" s="1524"/>
      <c r="E66" s="1524"/>
      <c r="F66" s="1524"/>
      <c r="G66" s="1524"/>
      <c r="H66" s="1525"/>
      <c r="I66" s="1515" t="s">
        <v>64</v>
      </c>
      <c r="J66" s="1524"/>
      <c r="K66" s="1524"/>
      <c r="L66" s="1524"/>
      <c r="M66" s="1524"/>
      <c r="N66" s="1524"/>
      <c r="O66" s="1524"/>
      <c r="P66" s="1524"/>
      <c r="Q66" s="1526" t="s">
        <v>63</v>
      </c>
      <c r="R66" s="1514"/>
      <c r="S66" s="1514"/>
      <c r="T66" s="1514"/>
      <c r="U66" s="1514"/>
      <c r="V66" s="1514" t="s">
        <v>64</v>
      </c>
      <c r="W66" s="1514"/>
      <c r="X66" s="1514"/>
      <c r="Y66" s="1514"/>
      <c r="Z66" s="1514"/>
      <c r="AA66" s="1515"/>
      <c r="AB66" s="1516"/>
      <c r="AC66" s="430"/>
    </row>
    <row r="67" spans="1:29" ht="29.25" customHeight="1">
      <c r="A67" s="236"/>
      <c r="B67" s="237" t="s">
        <v>228</v>
      </c>
      <c r="C67" s="237" t="s">
        <v>226</v>
      </c>
      <c r="D67" s="431" t="s">
        <v>231</v>
      </c>
      <c r="E67" s="237" t="s">
        <v>233</v>
      </c>
      <c r="F67" s="237" t="s">
        <v>399</v>
      </c>
      <c r="G67" s="237" t="s">
        <v>431</v>
      </c>
      <c r="H67" s="237" t="s">
        <v>236</v>
      </c>
      <c r="I67" s="237" t="s">
        <v>228</v>
      </c>
      <c r="J67" s="657" t="s">
        <v>226</v>
      </c>
      <c r="K67" s="662" t="s">
        <v>231</v>
      </c>
      <c r="L67" s="663" t="s">
        <v>233</v>
      </c>
      <c r="M67" s="237" t="s">
        <v>399</v>
      </c>
      <c r="N67" s="237" t="s">
        <v>431</v>
      </c>
      <c r="O67" s="679"/>
      <c r="P67" s="663" t="s">
        <v>236</v>
      </c>
      <c r="Q67" s="658" t="s">
        <v>228</v>
      </c>
      <c r="R67" s="237" t="s">
        <v>226</v>
      </c>
      <c r="S67" s="431" t="s">
        <v>231</v>
      </c>
      <c r="T67" s="237" t="s">
        <v>233</v>
      </c>
      <c r="U67" s="237" t="s">
        <v>399</v>
      </c>
      <c r="V67" s="237" t="s">
        <v>228</v>
      </c>
      <c r="W67" s="237" t="s">
        <v>226</v>
      </c>
      <c r="X67" s="431" t="s">
        <v>231</v>
      </c>
      <c r="Y67" s="237" t="s">
        <v>233</v>
      </c>
      <c r="Z67" s="237" t="s">
        <v>399</v>
      </c>
      <c r="AA67" s="237" t="s">
        <v>431</v>
      </c>
      <c r="AB67" s="237" t="s">
        <v>236</v>
      </c>
      <c r="AC67" s="430"/>
    </row>
    <row r="68" spans="1:29" ht="30.75">
      <c r="A68" s="19" t="s">
        <v>684</v>
      </c>
      <c r="B68" s="21">
        <v>348660</v>
      </c>
      <c r="C68" s="21">
        <v>348660</v>
      </c>
      <c r="D68" s="21">
        <v>348660</v>
      </c>
      <c r="E68" s="21">
        <v>345540</v>
      </c>
      <c r="F68" s="21">
        <v>345540</v>
      </c>
      <c r="G68" s="968">
        <f>+F68/E68</f>
        <v>1</v>
      </c>
      <c r="H68" s="636"/>
      <c r="I68" s="21"/>
      <c r="J68" s="21"/>
      <c r="K68" s="21"/>
      <c r="L68" s="21"/>
      <c r="M68" s="297"/>
      <c r="N68" s="971"/>
      <c r="O68" s="297"/>
      <c r="P68" s="297"/>
      <c r="Q68" s="299"/>
      <c r="R68" s="21"/>
      <c r="S68" s="21"/>
      <c r="T68" s="21"/>
      <c r="U68" s="21"/>
      <c r="V68" s="21"/>
      <c r="W68" s="21"/>
      <c r="X68" s="21"/>
      <c r="Y68" s="21"/>
      <c r="Z68" s="21"/>
      <c r="AA68" s="297"/>
      <c r="AB68" s="23"/>
      <c r="AC68" s="430"/>
    </row>
    <row r="69" spans="1:29" ht="18" hidden="1">
      <c r="A69" s="19" t="s">
        <v>438</v>
      </c>
      <c r="B69" s="38"/>
      <c r="C69" s="38"/>
      <c r="D69" s="38"/>
      <c r="E69" s="38"/>
      <c r="F69" s="38"/>
      <c r="G69" s="969"/>
      <c r="H69" s="636"/>
      <c r="I69" s="38"/>
      <c r="J69" s="38"/>
      <c r="K69" s="38"/>
      <c r="L69" s="38"/>
      <c r="M69" s="300"/>
      <c r="N69" s="972"/>
      <c r="O69" s="747"/>
      <c r="P69" s="300"/>
      <c r="Q69" s="299"/>
      <c r="R69" s="21"/>
      <c r="S69" s="21"/>
      <c r="T69" s="21"/>
      <c r="U69" s="21"/>
      <c r="V69" s="21"/>
      <c r="W69" s="21"/>
      <c r="X69" s="21"/>
      <c r="Y69" s="21"/>
      <c r="Z69" s="21"/>
      <c r="AA69" s="297"/>
      <c r="AB69" s="23"/>
      <c r="AC69" s="430"/>
    </row>
    <row r="70" spans="1:29" ht="18" hidden="1">
      <c r="A70" s="39" t="s">
        <v>481</v>
      </c>
      <c r="B70" s="38"/>
      <c r="C70" s="38"/>
      <c r="D70" s="38"/>
      <c r="E70" s="38"/>
      <c r="F70" s="38"/>
      <c r="G70" s="969"/>
      <c r="H70" s="38"/>
      <c r="I70" s="38"/>
      <c r="J70" s="38"/>
      <c r="K70" s="38"/>
      <c r="L70" s="38"/>
      <c r="M70" s="38"/>
      <c r="N70" s="969"/>
      <c r="O70" s="748"/>
      <c r="P70" s="636"/>
      <c r="Q70" s="299"/>
      <c r="R70" s="21"/>
      <c r="S70" s="21"/>
      <c r="T70" s="21"/>
      <c r="U70" s="21"/>
      <c r="V70" s="21"/>
      <c r="W70" s="21"/>
      <c r="X70" s="21"/>
      <c r="Y70" s="21"/>
      <c r="Z70" s="21"/>
      <c r="AA70" s="297"/>
      <c r="AB70" s="23"/>
      <c r="AC70" s="430"/>
    </row>
    <row r="71" spans="1:29" ht="18">
      <c r="A71" s="39" t="s">
        <v>480</v>
      </c>
      <c r="B71" s="38"/>
      <c r="C71" s="38"/>
      <c r="D71" s="38"/>
      <c r="E71" s="38"/>
      <c r="F71" s="38"/>
      <c r="G71" s="969"/>
      <c r="H71" s="38"/>
      <c r="I71" s="38">
        <v>965520</v>
      </c>
      <c r="J71" s="38">
        <v>965520</v>
      </c>
      <c r="K71" s="38">
        <v>965520</v>
      </c>
      <c r="L71" s="38">
        <v>989496</v>
      </c>
      <c r="M71" s="38">
        <v>989496</v>
      </c>
      <c r="N71" s="968">
        <f>+M71/L71</f>
        <v>1</v>
      </c>
      <c r="O71" s="748"/>
      <c r="P71" s="636"/>
      <c r="Q71" s="299"/>
      <c r="R71" s="21"/>
      <c r="S71" s="21"/>
      <c r="T71" s="21"/>
      <c r="U71" s="21"/>
      <c r="V71" s="21"/>
      <c r="W71" s="21"/>
      <c r="X71" s="21"/>
      <c r="Y71" s="21"/>
      <c r="Z71" s="21"/>
      <c r="AA71" s="297"/>
      <c r="AB71" s="23"/>
      <c r="AC71" s="430"/>
    </row>
    <row r="72" spans="1:29" ht="18">
      <c r="A72" s="39" t="s">
        <v>497</v>
      </c>
      <c r="B72" s="38"/>
      <c r="C72" s="38"/>
      <c r="D72" s="38"/>
      <c r="E72" s="38"/>
      <c r="F72" s="38"/>
      <c r="G72" s="969"/>
      <c r="H72" s="38"/>
      <c r="I72" s="38">
        <v>308914</v>
      </c>
      <c r="J72" s="38">
        <v>308914</v>
      </c>
      <c r="K72" s="38">
        <v>308914</v>
      </c>
      <c r="L72" s="38"/>
      <c r="M72" s="38"/>
      <c r="N72" s="969"/>
      <c r="O72" s="748"/>
      <c r="P72" s="636"/>
      <c r="Q72" s="299"/>
      <c r="R72" s="21"/>
      <c r="S72" s="21"/>
      <c r="T72" s="21"/>
      <c r="U72" s="21"/>
      <c r="V72" s="21"/>
      <c r="W72" s="21"/>
      <c r="X72" s="21"/>
      <c r="Y72" s="21"/>
      <c r="Z72" s="21"/>
      <c r="AA72" s="297"/>
      <c r="AB72" s="23"/>
      <c r="AC72" s="430"/>
    </row>
    <row r="73" spans="1:29" ht="18" hidden="1">
      <c r="A73" s="39" t="s">
        <v>222</v>
      </c>
      <c r="B73" s="38"/>
      <c r="C73" s="38"/>
      <c r="D73" s="38"/>
      <c r="E73" s="38"/>
      <c r="F73" s="38"/>
      <c r="G73" s="969"/>
      <c r="H73" s="38"/>
      <c r="I73" s="38"/>
      <c r="J73" s="38"/>
      <c r="K73" s="38"/>
      <c r="L73" s="38"/>
      <c r="M73" s="38"/>
      <c r="N73" s="969"/>
      <c r="O73" s="300"/>
      <c r="P73" s="636"/>
      <c r="Q73" s="299"/>
      <c r="R73" s="21"/>
      <c r="S73" s="21"/>
      <c r="T73" s="21"/>
      <c r="U73" s="21"/>
      <c r="V73" s="21"/>
      <c r="W73" s="21"/>
      <c r="X73" s="21"/>
      <c r="Y73" s="21"/>
      <c r="Z73" s="21"/>
      <c r="AA73" s="297"/>
      <c r="AB73" s="23"/>
      <c r="AC73" s="430"/>
    </row>
    <row r="74" spans="1:29" ht="18">
      <c r="A74" s="39" t="s">
        <v>223</v>
      </c>
      <c r="B74" s="38"/>
      <c r="C74" s="38"/>
      <c r="D74" s="38"/>
      <c r="E74" s="38"/>
      <c r="F74" s="38"/>
      <c r="G74" s="969"/>
      <c r="H74" s="38"/>
      <c r="I74" s="38">
        <v>86670</v>
      </c>
      <c r="J74" s="38">
        <v>86670</v>
      </c>
      <c r="K74" s="38">
        <v>86670</v>
      </c>
      <c r="L74" s="38"/>
      <c r="M74" s="38"/>
      <c r="N74" s="969"/>
      <c r="O74" s="300"/>
      <c r="P74" s="636"/>
      <c r="Q74" s="299"/>
      <c r="R74" s="21"/>
      <c r="S74" s="21"/>
      <c r="T74" s="21"/>
      <c r="U74" s="21"/>
      <c r="V74" s="21"/>
      <c r="W74" s="21"/>
      <c r="X74" s="21"/>
      <c r="Y74" s="21"/>
      <c r="Z74" s="21"/>
      <c r="AA74" s="297"/>
      <c r="AB74" s="23"/>
      <c r="AC74" s="430"/>
    </row>
    <row r="75" spans="1:29" ht="18">
      <c r="A75" s="39" t="s">
        <v>224</v>
      </c>
      <c r="B75" s="38"/>
      <c r="C75" s="38"/>
      <c r="D75" s="38"/>
      <c r="E75" s="38"/>
      <c r="F75" s="38"/>
      <c r="G75" s="969"/>
      <c r="H75" s="38"/>
      <c r="I75" s="38">
        <v>66450</v>
      </c>
      <c r="J75" s="38">
        <v>66450</v>
      </c>
      <c r="K75" s="38">
        <v>66450</v>
      </c>
      <c r="L75" s="38"/>
      <c r="M75" s="38"/>
      <c r="N75" s="969"/>
      <c r="O75" s="300"/>
      <c r="P75" s="636"/>
      <c r="Q75" s="299"/>
      <c r="R75" s="21"/>
      <c r="S75" s="21"/>
      <c r="T75" s="21"/>
      <c r="U75" s="21"/>
      <c r="V75" s="21"/>
      <c r="W75" s="21"/>
      <c r="X75" s="21"/>
      <c r="Y75" s="21"/>
      <c r="Z75" s="21"/>
      <c r="AA75" s="297"/>
      <c r="AB75" s="23"/>
      <c r="AC75" s="430"/>
    </row>
    <row r="76" spans="1:29" ht="18" hidden="1">
      <c r="A76" s="39" t="s">
        <v>225</v>
      </c>
      <c r="B76" s="38"/>
      <c r="C76" s="38"/>
      <c r="D76" s="38"/>
      <c r="E76" s="38"/>
      <c r="F76" s="38"/>
      <c r="G76" s="969"/>
      <c r="H76" s="38"/>
      <c r="I76" s="38"/>
      <c r="J76" s="38"/>
      <c r="K76" s="38"/>
      <c r="L76" s="38"/>
      <c r="M76" s="38"/>
      <c r="N76" s="969"/>
      <c r="O76" s="300"/>
      <c r="P76" s="636"/>
      <c r="Q76" s="299"/>
      <c r="R76" s="21"/>
      <c r="S76" s="21"/>
      <c r="T76" s="21"/>
      <c r="U76" s="21"/>
      <c r="V76" s="21"/>
      <c r="W76" s="21"/>
      <c r="X76" s="21"/>
      <c r="Y76" s="21"/>
      <c r="Z76" s="21"/>
      <c r="AA76" s="297"/>
      <c r="AB76" s="23"/>
      <c r="AC76" s="430"/>
    </row>
    <row r="77" spans="1:29" ht="18">
      <c r="A77" s="39" t="s">
        <v>591</v>
      </c>
      <c r="B77" s="38"/>
      <c r="C77" s="38"/>
      <c r="D77" s="38"/>
      <c r="E77" s="38"/>
      <c r="F77" s="38"/>
      <c r="G77" s="969"/>
      <c r="H77" s="38"/>
      <c r="I77" s="38">
        <v>241380</v>
      </c>
      <c r="J77" s="38">
        <v>241380</v>
      </c>
      <c r="K77" s="38">
        <v>241380</v>
      </c>
      <c r="L77" s="38">
        <v>478440</v>
      </c>
      <c r="M77" s="38">
        <v>478440</v>
      </c>
      <c r="N77" s="968">
        <f>+M77/L77</f>
        <v>1</v>
      </c>
      <c r="O77" s="300"/>
      <c r="P77" s="636"/>
      <c r="Q77" s="299"/>
      <c r="R77" s="21"/>
      <c r="S77" s="21"/>
      <c r="T77" s="21"/>
      <c r="U77" s="21"/>
      <c r="V77" s="21"/>
      <c r="W77" s="21"/>
      <c r="X77" s="21"/>
      <c r="Y77" s="21"/>
      <c r="Z77" s="21"/>
      <c r="AA77" s="297"/>
      <c r="AB77" s="23"/>
      <c r="AC77" s="430"/>
    </row>
    <row r="78" spans="1:29" ht="39" customHeight="1">
      <c r="A78" s="39" t="s">
        <v>548</v>
      </c>
      <c r="B78" s="38">
        <v>146511583</v>
      </c>
      <c r="C78" s="38">
        <v>146511583</v>
      </c>
      <c r="D78" s="38">
        <f>146511583-2785440</f>
        <v>143726143</v>
      </c>
      <c r="E78" s="38">
        <v>136246951</v>
      </c>
      <c r="F78" s="38">
        <v>136246951</v>
      </c>
      <c r="G78" s="968">
        <f>+F78/E78</f>
        <v>1</v>
      </c>
      <c r="H78" s="636"/>
      <c r="I78" s="38"/>
      <c r="J78" s="38"/>
      <c r="K78" s="38"/>
      <c r="L78" s="38"/>
      <c r="M78" s="38"/>
      <c r="N78" s="969"/>
      <c r="O78" s="300"/>
      <c r="P78" s="300"/>
      <c r="Q78" s="299"/>
      <c r="R78" s="21"/>
      <c r="S78" s="21"/>
      <c r="T78" s="21"/>
      <c r="U78" s="21"/>
      <c r="V78" s="21"/>
      <c r="W78" s="21"/>
      <c r="X78" s="21"/>
      <c r="Y78" s="21"/>
      <c r="Z78" s="21"/>
      <c r="AA78" s="297"/>
      <c r="AB78" s="23"/>
      <c r="AC78" s="430"/>
    </row>
    <row r="79" spans="1:29" ht="39" customHeight="1" hidden="1">
      <c r="A79" s="39" t="s">
        <v>555</v>
      </c>
      <c r="B79" s="38"/>
      <c r="C79" s="38"/>
      <c r="D79" s="38"/>
      <c r="E79" s="38"/>
      <c r="F79" s="38"/>
      <c r="G79" s="969"/>
      <c r="H79" s="808"/>
      <c r="I79" s="38"/>
      <c r="J79" s="38"/>
      <c r="K79" s="38"/>
      <c r="L79" s="38"/>
      <c r="M79" s="38"/>
      <c r="N79" s="969"/>
      <c r="O79" s="300"/>
      <c r="P79" s="300"/>
      <c r="Q79" s="299"/>
      <c r="R79" s="21"/>
      <c r="S79" s="21"/>
      <c r="T79" s="21"/>
      <c r="U79" s="21"/>
      <c r="V79" s="21"/>
      <c r="W79" s="21"/>
      <c r="X79" s="21"/>
      <c r="Y79" s="21"/>
      <c r="Z79" s="21"/>
      <c r="AA79" s="297"/>
      <c r="AB79" s="23"/>
      <c r="AC79" s="430"/>
    </row>
    <row r="80" spans="1:29" ht="18">
      <c r="A80" s="39" t="s">
        <v>240</v>
      </c>
      <c r="B80" s="38"/>
      <c r="C80" s="38"/>
      <c r="D80" s="38"/>
      <c r="E80" s="38"/>
      <c r="F80" s="38"/>
      <c r="G80" s="969"/>
      <c r="H80" s="38"/>
      <c r="I80" s="38">
        <v>12000</v>
      </c>
      <c r="J80" s="38">
        <v>12000</v>
      </c>
      <c r="K80" s="38">
        <v>12000</v>
      </c>
      <c r="L80" s="38"/>
      <c r="M80" s="38"/>
      <c r="N80" s="969"/>
      <c r="O80" s="300"/>
      <c r="P80" s="300"/>
      <c r="Q80" s="299"/>
      <c r="R80" s="21"/>
      <c r="S80" s="21"/>
      <c r="T80" s="21"/>
      <c r="U80" s="21"/>
      <c r="V80" s="21"/>
      <c r="W80" s="21"/>
      <c r="X80" s="21"/>
      <c r="Y80" s="21"/>
      <c r="Z80" s="21"/>
      <c r="AA80" s="297"/>
      <c r="AB80" s="23"/>
      <c r="AC80" s="430"/>
    </row>
    <row r="81" spans="1:29" ht="18">
      <c r="A81" s="39" t="s">
        <v>531</v>
      </c>
      <c r="B81" s="38"/>
      <c r="C81" s="38"/>
      <c r="D81" s="38"/>
      <c r="E81" s="38"/>
      <c r="F81" s="38"/>
      <c r="G81" s="969"/>
      <c r="H81" s="38"/>
      <c r="I81" s="38">
        <v>390000</v>
      </c>
      <c r="J81" s="38">
        <v>390000</v>
      </c>
      <c r="K81" s="38">
        <v>390000</v>
      </c>
      <c r="L81" s="38">
        <v>390000</v>
      </c>
      <c r="M81" s="38">
        <v>390000</v>
      </c>
      <c r="N81" s="968">
        <f>+M81/L81</f>
        <v>1</v>
      </c>
      <c r="O81" s="300"/>
      <c r="P81" s="300"/>
      <c r="Q81" s="299"/>
      <c r="R81" s="21"/>
      <c r="S81" s="21"/>
      <c r="T81" s="21"/>
      <c r="U81" s="21"/>
      <c r="V81" s="21"/>
      <c r="W81" s="21"/>
      <c r="X81" s="21"/>
      <c r="Y81" s="21"/>
      <c r="Z81" s="21"/>
      <c r="AA81" s="297"/>
      <c r="AB81" s="23"/>
      <c r="AC81" s="430"/>
    </row>
    <row r="82" spans="1:29" ht="47.25" customHeight="1" hidden="1">
      <c r="A82" s="39"/>
      <c r="B82" s="38"/>
      <c r="C82" s="38"/>
      <c r="D82" s="38"/>
      <c r="E82" s="38"/>
      <c r="F82" s="38"/>
      <c r="G82" s="969"/>
      <c r="H82" s="38"/>
      <c r="I82" s="38"/>
      <c r="J82" s="38"/>
      <c r="K82" s="38"/>
      <c r="L82" s="38"/>
      <c r="M82" s="38"/>
      <c r="N82" s="969"/>
      <c r="O82" s="300"/>
      <c r="P82" s="300"/>
      <c r="Q82" s="299"/>
      <c r="R82" s="21"/>
      <c r="S82" s="21"/>
      <c r="T82" s="21"/>
      <c r="U82" s="21"/>
      <c r="V82" s="21"/>
      <c r="W82" s="21"/>
      <c r="X82" s="21"/>
      <c r="Y82" s="21"/>
      <c r="Z82" s="21"/>
      <c r="AA82" s="297"/>
      <c r="AB82" s="23"/>
      <c r="AC82" s="430"/>
    </row>
    <row r="83" spans="1:29" ht="39" customHeight="1" hidden="1">
      <c r="A83" s="39"/>
      <c r="B83" s="38"/>
      <c r="C83" s="38"/>
      <c r="D83" s="38"/>
      <c r="E83" s="38"/>
      <c r="F83" s="38"/>
      <c r="G83" s="969"/>
      <c r="H83" s="38"/>
      <c r="I83" s="38"/>
      <c r="J83" s="38"/>
      <c r="K83" s="38"/>
      <c r="L83" s="38"/>
      <c r="M83" s="38"/>
      <c r="N83" s="969"/>
      <c r="O83" s="300"/>
      <c r="P83" s="300"/>
      <c r="Q83" s="299"/>
      <c r="R83" s="21"/>
      <c r="S83" s="21"/>
      <c r="T83" s="21"/>
      <c r="U83" s="21"/>
      <c r="V83" s="21"/>
      <c r="W83" s="21"/>
      <c r="X83" s="21"/>
      <c r="Y83" s="21"/>
      <c r="Z83" s="21"/>
      <c r="AA83" s="297"/>
      <c r="AB83" s="23"/>
      <c r="AC83" s="430"/>
    </row>
    <row r="84" spans="1:29" ht="39" customHeight="1" hidden="1">
      <c r="A84" s="39"/>
      <c r="B84" s="38"/>
      <c r="C84" s="38"/>
      <c r="D84" s="38"/>
      <c r="E84" s="38"/>
      <c r="F84" s="38"/>
      <c r="G84" s="969"/>
      <c r="H84" s="38"/>
      <c r="I84" s="38"/>
      <c r="J84" s="38"/>
      <c r="K84" s="38"/>
      <c r="L84" s="38"/>
      <c r="M84" s="38"/>
      <c r="N84" s="969"/>
      <c r="O84" s="300"/>
      <c r="P84" s="300"/>
      <c r="Q84" s="299"/>
      <c r="R84" s="21"/>
      <c r="S84" s="21"/>
      <c r="T84" s="21"/>
      <c r="U84" s="21"/>
      <c r="V84" s="21"/>
      <c r="W84" s="21"/>
      <c r="X84" s="21"/>
      <c r="Y84" s="21"/>
      <c r="Z84" s="21"/>
      <c r="AA84" s="297"/>
      <c r="AB84" s="23"/>
      <c r="AC84" s="430"/>
    </row>
    <row r="85" spans="1:29" ht="39" customHeight="1" hidden="1">
      <c r="A85" s="39"/>
      <c r="B85" s="38"/>
      <c r="C85" s="38"/>
      <c r="D85" s="38"/>
      <c r="E85" s="38"/>
      <c r="F85" s="38"/>
      <c r="G85" s="969"/>
      <c r="H85" s="38"/>
      <c r="I85" s="38"/>
      <c r="J85" s="38"/>
      <c r="K85" s="38"/>
      <c r="L85" s="38"/>
      <c r="M85" s="38"/>
      <c r="N85" s="969"/>
      <c r="O85" s="300"/>
      <c r="P85" s="300"/>
      <c r="Q85" s="299"/>
      <c r="R85" s="21"/>
      <c r="S85" s="21"/>
      <c r="T85" s="21"/>
      <c r="U85" s="21"/>
      <c r="V85" s="21"/>
      <c r="W85" s="21"/>
      <c r="X85" s="21"/>
      <c r="Y85" s="21"/>
      <c r="Z85" s="21"/>
      <c r="AA85" s="297"/>
      <c r="AB85" s="23"/>
      <c r="AC85" s="430"/>
    </row>
    <row r="86" spans="1:29" ht="39" customHeight="1" hidden="1">
      <c r="A86" s="39"/>
      <c r="B86" s="38"/>
      <c r="C86" s="38"/>
      <c r="D86" s="38"/>
      <c r="E86" s="38"/>
      <c r="F86" s="38"/>
      <c r="G86" s="969"/>
      <c r="H86" s="38"/>
      <c r="I86" s="38"/>
      <c r="J86" s="38"/>
      <c r="K86" s="38"/>
      <c r="L86" s="38"/>
      <c r="M86" s="38"/>
      <c r="N86" s="969"/>
      <c r="O86" s="300"/>
      <c r="P86" s="300"/>
      <c r="Q86" s="299"/>
      <c r="R86" s="21"/>
      <c r="S86" s="21"/>
      <c r="T86" s="21"/>
      <c r="U86" s="21"/>
      <c r="V86" s="21"/>
      <c r="W86" s="21"/>
      <c r="X86" s="21"/>
      <c r="Y86" s="21"/>
      <c r="Z86" s="21"/>
      <c r="AA86" s="297"/>
      <c r="AB86" s="23"/>
      <c r="AC86" s="430"/>
    </row>
    <row r="87" spans="1:29" ht="39" customHeight="1" hidden="1">
      <c r="A87" s="39"/>
      <c r="B87" s="38"/>
      <c r="C87" s="38"/>
      <c r="D87" s="38"/>
      <c r="E87" s="38"/>
      <c r="F87" s="38"/>
      <c r="G87" s="969"/>
      <c r="H87" s="38"/>
      <c r="I87" s="38"/>
      <c r="J87" s="38"/>
      <c r="K87" s="38"/>
      <c r="L87" s="38"/>
      <c r="M87" s="38"/>
      <c r="N87" s="969"/>
      <c r="O87" s="300"/>
      <c r="P87" s="300"/>
      <c r="Q87" s="299"/>
      <c r="R87" s="21"/>
      <c r="S87" s="21"/>
      <c r="T87" s="21"/>
      <c r="U87" s="21"/>
      <c r="V87" s="21"/>
      <c r="W87" s="21"/>
      <c r="X87" s="21"/>
      <c r="Y87" s="21"/>
      <c r="Z87" s="21"/>
      <c r="AA87" s="297"/>
      <c r="AB87" s="23"/>
      <c r="AC87" s="430"/>
    </row>
    <row r="88" spans="1:29" ht="39" customHeight="1" hidden="1">
      <c r="A88" s="39"/>
      <c r="B88" s="38"/>
      <c r="C88" s="38"/>
      <c r="D88" s="38"/>
      <c r="E88" s="38"/>
      <c r="F88" s="38"/>
      <c r="G88" s="969"/>
      <c r="H88" s="38"/>
      <c r="I88" s="38"/>
      <c r="J88" s="38"/>
      <c r="K88" s="38"/>
      <c r="L88" s="38"/>
      <c r="M88" s="38"/>
      <c r="N88" s="969"/>
      <c r="O88" s="300"/>
      <c r="P88" s="300"/>
      <c r="Q88" s="299"/>
      <c r="R88" s="21"/>
      <c r="S88" s="21"/>
      <c r="T88" s="21"/>
      <c r="U88" s="21"/>
      <c r="V88" s="21"/>
      <c r="W88" s="21"/>
      <c r="X88" s="21"/>
      <c r="Y88" s="21"/>
      <c r="Z88" s="21"/>
      <c r="AA88" s="297"/>
      <c r="AB88" s="23"/>
      <c r="AC88" s="430"/>
    </row>
    <row r="89" spans="1:29" s="11" customFormat="1" ht="27" customHeight="1" thickBot="1">
      <c r="A89" s="20" t="s">
        <v>1</v>
      </c>
      <c r="B89" s="25">
        <f>SUM(B68:B83)</f>
        <v>146860243</v>
      </c>
      <c r="C89" s="25">
        <f>SUM(C68:C83)</f>
        <v>146860243</v>
      </c>
      <c r="D89" s="25">
        <f>SUM(D68:D83)</f>
        <v>144074803</v>
      </c>
      <c r="E89" s="25">
        <f>SUM(E68:E83)</f>
        <v>136592491</v>
      </c>
      <c r="F89" s="25">
        <f>SUM(F68:F83)</f>
        <v>136592491</v>
      </c>
      <c r="G89" s="970">
        <f>+F89/E89</f>
        <v>1</v>
      </c>
      <c r="H89" s="639">
        <f>F89/E89</f>
        <v>1</v>
      </c>
      <c r="I89" s="638">
        <f aca="true" t="shared" si="3" ref="I89:V89">SUM(I68:I83)</f>
        <v>2070934</v>
      </c>
      <c r="J89" s="638">
        <f>SUM(J68:J83)</f>
        <v>2070934</v>
      </c>
      <c r="K89" s="638">
        <f>SUM(K68:K83)</f>
        <v>2070934</v>
      </c>
      <c r="L89" s="638">
        <f>SUM(L68:L83)</f>
        <v>1857936</v>
      </c>
      <c r="M89" s="638">
        <f>SUM(M68:M83)</f>
        <v>1857936</v>
      </c>
      <c r="N89" s="970">
        <f>+M89/L89</f>
        <v>1</v>
      </c>
      <c r="O89" s="638"/>
      <c r="P89" s="639">
        <f>M89/L89</f>
        <v>1</v>
      </c>
      <c r="Q89" s="637">
        <f t="shared" si="3"/>
        <v>0</v>
      </c>
      <c r="R89" s="25">
        <f t="shared" si="3"/>
        <v>0</v>
      </c>
      <c r="S89" s="25">
        <f t="shared" si="3"/>
        <v>0</v>
      </c>
      <c r="T89" s="25">
        <f t="shared" si="3"/>
        <v>0</v>
      </c>
      <c r="U89" s="25">
        <f t="shared" si="3"/>
        <v>0</v>
      </c>
      <c r="V89" s="25">
        <f t="shared" si="3"/>
        <v>0</v>
      </c>
      <c r="W89" s="25">
        <f>SUM(W68:W88)</f>
        <v>0</v>
      </c>
      <c r="X89" s="25"/>
      <c r="Y89" s="25"/>
      <c r="Z89" s="25"/>
      <c r="AA89" s="678"/>
      <c r="AB89" s="209"/>
      <c r="AC89" s="430"/>
    </row>
    <row r="90" spans="7:22" ht="18">
      <c r="G90" s="820"/>
      <c r="H90" s="820"/>
      <c r="I90" s="821"/>
      <c r="J90" s="820"/>
      <c r="K90" s="820"/>
      <c r="L90" s="820"/>
      <c r="M90" s="821"/>
      <c r="N90" s="821"/>
      <c r="O90" s="821"/>
      <c r="V90" s="749"/>
    </row>
    <row r="91" spans="1:22" ht="14.25" hidden="1">
      <c r="A91" s="1500"/>
      <c r="B91" s="1500"/>
      <c r="C91" s="1500"/>
      <c r="D91" s="1500"/>
      <c r="E91" s="1500"/>
      <c r="F91" s="1500"/>
      <c r="G91" s="1500"/>
      <c r="H91" s="1500"/>
      <c r="I91" s="1500"/>
      <c r="J91" s="1500"/>
      <c r="K91" s="1500"/>
      <c r="L91" s="1500"/>
      <c r="M91" s="1500"/>
      <c r="N91" s="1500"/>
      <c r="O91" s="1500"/>
      <c r="P91" s="1500"/>
      <c r="Q91" s="1500"/>
      <c r="R91" s="1500"/>
      <c r="S91" s="1500"/>
      <c r="T91" s="1500"/>
      <c r="U91" s="1500"/>
      <c r="V91" s="1500"/>
    </row>
    <row r="92" spans="1:15" ht="18.75" hidden="1" thickBot="1">
      <c r="A92" s="732"/>
      <c r="E92" s="295"/>
      <c r="F92" s="295"/>
      <c r="G92" s="295"/>
      <c r="N92" s="822"/>
      <c r="O92" s="822"/>
    </row>
    <row r="93" spans="1:28" ht="15.75" hidden="1">
      <c r="A93" s="1501"/>
      <c r="B93" s="1503"/>
      <c r="C93" s="1504"/>
      <c r="D93" s="1504"/>
      <c r="E93" s="1504"/>
      <c r="F93" s="1504"/>
      <c r="G93" s="1504"/>
      <c r="H93" s="1504"/>
      <c r="I93" s="1504"/>
      <c r="J93" s="1504"/>
      <c r="K93" s="1504"/>
      <c r="L93" s="1504"/>
      <c r="M93" s="1504"/>
      <c r="N93" s="1504"/>
      <c r="O93" s="1504"/>
      <c r="P93" s="1504"/>
      <c r="Q93" s="1505"/>
      <c r="R93" s="1506"/>
      <c r="S93" s="1506"/>
      <c r="T93" s="1506"/>
      <c r="U93" s="1506"/>
      <c r="V93" s="1506"/>
      <c r="W93" s="1506"/>
      <c r="X93" s="1506"/>
      <c r="Y93" s="1506"/>
      <c r="Z93" s="1506"/>
      <c r="AA93" s="1503"/>
      <c r="AB93" s="1507"/>
    </row>
    <row r="94" spans="1:28" ht="15.75" hidden="1">
      <c r="A94" s="1502"/>
      <c r="B94" s="1508"/>
      <c r="C94" s="1509"/>
      <c r="D94" s="1509"/>
      <c r="E94" s="1509"/>
      <c r="F94" s="1509"/>
      <c r="G94" s="1509"/>
      <c r="H94" s="1510"/>
      <c r="I94" s="1508"/>
      <c r="J94" s="1509"/>
      <c r="K94" s="1509"/>
      <c r="L94" s="1509"/>
      <c r="M94" s="1509"/>
      <c r="N94" s="1509"/>
      <c r="O94" s="1509"/>
      <c r="P94" s="1509"/>
      <c r="Q94" s="1511"/>
      <c r="R94" s="1512"/>
      <c r="S94" s="1512"/>
      <c r="T94" s="1512"/>
      <c r="U94" s="1512"/>
      <c r="V94" s="1512"/>
      <c r="W94" s="1512"/>
      <c r="X94" s="1512"/>
      <c r="Y94" s="1512"/>
      <c r="Z94" s="1512"/>
      <c r="AA94" s="1508"/>
      <c r="AB94" s="1513"/>
    </row>
    <row r="95" spans="1:28" ht="15.75" hidden="1">
      <c r="A95" s="823"/>
      <c r="B95" s="826"/>
      <c r="C95" s="826"/>
      <c r="D95" s="827"/>
      <c r="E95" s="826"/>
      <c r="F95" s="826"/>
      <c r="G95" s="826"/>
      <c r="H95" s="826"/>
      <c r="I95" s="826"/>
      <c r="J95" s="825"/>
      <c r="K95" s="828"/>
      <c r="L95" s="829"/>
      <c r="M95" s="826"/>
      <c r="N95" s="830"/>
      <c r="O95" s="830"/>
      <c r="P95" s="829"/>
      <c r="Q95" s="824"/>
      <c r="R95" s="826"/>
      <c r="S95" s="827"/>
      <c r="T95" s="826"/>
      <c r="U95" s="826"/>
      <c r="V95" s="826"/>
      <c r="W95" s="826"/>
      <c r="X95" s="827"/>
      <c r="Y95" s="826"/>
      <c r="Z95" s="826"/>
      <c r="AA95" s="830"/>
      <c r="AB95" s="826"/>
    </row>
    <row r="96" spans="1:28" ht="18" hidden="1">
      <c r="A96" s="19"/>
      <c r="B96" s="21"/>
      <c r="C96" s="21"/>
      <c r="D96" s="21"/>
      <c r="E96" s="21"/>
      <c r="F96" s="21"/>
      <c r="G96" s="21"/>
      <c r="H96" s="636"/>
      <c r="I96" s="21"/>
      <c r="J96" s="21"/>
      <c r="K96" s="21"/>
      <c r="L96" s="21"/>
      <c r="M96" s="297"/>
      <c r="N96" s="297"/>
      <c r="O96" s="297"/>
      <c r="P96" s="297"/>
      <c r="Q96" s="299"/>
      <c r="R96" s="21"/>
      <c r="S96" s="21"/>
      <c r="T96" s="21"/>
      <c r="U96" s="21"/>
      <c r="V96" s="21"/>
      <c r="W96" s="21"/>
      <c r="X96" s="21"/>
      <c r="Y96" s="21"/>
      <c r="Z96" s="21"/>
      <c r="AA96" s="297"/>
      <c r="AB96" s="23"/>
    </row>
    <row r="97" spans="1:28" ht="18" hidden="1">
      <c r="A97" s="19"/>
      <c r="B97" s="38"/>
      <c r="C97" s="38"/>
      <c r="D97" s="38"/>
      <c r="E97" s="38"/>
      <c r="F97" s="38"/>
      <c r="G97" s="38"/>
      <c r="H97" s="636"/>
      <c r="I97" s="38"/>
      <c r="J97" s="38"/>
      <c r="K97" s="38"/>
      <c r="L97" s="38"/>
      <c r="M97" s="300"/>
      <c r="N97" s="300"/>
      <c r="O97" s="300"/>
      <c r="P97" s="300"/>
      <c r="Q97" s="299"/>
      <c r="R97" s="21"/>
      <c r="S97" s="21"/>
      <c r="T97" s="21"/>
      <c r="U97" s="21"/>
      <c r="V97" s="21"/>
      <c r="W97" s="21"/>
      <c r="X97" s="21"/>
      <c r="Y97" s="21"/>
      <c r="Z97" s="21"/>
      <c r="AA97" s="297"/>
      <c r="AB97" s="23"/>
    </row>
    <row r="98" spans="1:28" ht="18" hidden="1">
      <c r="A98" s="39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00"/>
      <c r="P98" s="636"/>
      <c r="Q98" s="299"/>
      <c r="R98" s="21"/>
      <c r="S98" s="21"/>
      <c r="T98" s="21"/>
      <c r="U98" s="21"/>
      <c r="V98" s="21"/>
      <c r="W98" s="21"/>
      <c r="X98" s="21"/>
      <c r="Y98" s="21"/>
      <c r="Z98" s="21"/>
      <c r="AA98" s="297"/>
      <c r="AB98" s="23"/>
    </row>
    <row r="99" spans="1:28" ht="18" hidden="1">
      <c r="A99" s="39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00"/>
      <c r="P99" s="636"/>
      <c r="Q99" s="299"/>
      <c r="R99" s="21"/>
      <c r="S99" s="21"/>
      <c r="T99" s="21"/>
      <c r="U99" s="21"/>
      <c r="V99" s="21"/>
      <c r="W99" s="21"/>
      <c r="X99" s="21"/>
      <c r="Y99" s="21"/>
      <c r="Z99" s="21"/>
      <c r="AA99" s="297"/>
      <c r="AB99" s="23"/>
    </row>
    <row r="100" spans="1:28" ht="18" hidden="1">
      <c r="A100" s="39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00"/>
      <c r="P100" s="636"/>
      <c r="Q100" s="299"/>
      <c r="R100" s="21"/>
      <c r="S100" s="21"/>
      <c r="T100" s="21"/>
      <c r="U100" s="21"/>
      <c r="V100" s="21"/>
      <c r="W100" s="21"/>
      <c r="X100" s="21"/>
      <c r="Y100" s="21"/>
      <c r="Z100" s="21"/>
      <c r="AA100" s="297"/>
      <c r="AB100" s="23"/>
    </row>
    <row r="101" spans="1:28" ht="18" hidden="1">
      <c r="A101" s="39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00"/>
      <c r="P101" s="636"/>
      <c r="Q101" s="299"/>
      <c r="R101" s="21"/>
      <c r="S101" s="21"/>
      <c r="T101" s="21"/>
      <c r="U101" s="21"/>
      <c r="V101" s="21"/>
      <c r="W101" s="21"/>
      <c r="X101" s="21"/>
      <c r="Y101" s="21"/>
      <c r="Z101" s="21"/>
      <c r="AA101" s="297"/>
      <c r="AB101" s="23"/>
    </row>
    <row r="102" spans="1:28" ht="18" hidden="1">
      <c r="A102" s="39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00"/>
      <c r="P102" s="636"/>
      <c r="Q102" s="299"/>
      <c r="R102" s="21"/>
      <c r="S102" s="21"/>
      <c r="T102" s="21"/>
      <c r="U102" s="21"/>
      <c r="V102" s="21"/>
      <c r="W102" s="21"/>
      <c r="X102" s="21"/>
      <c r="Y102" s="21"/>
      <c r="Z102" s="21"/>
      <c r="AA102" s="297"/>
      <c r="AB102" s="23"/>
    </row>
    <row r="103" spans="1:28" ht="18" hidden="1">
      <c r="A103" s="39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00"/>
      <c r="P103" s="636"/>
      <c r="Q103" s="299"/>
      <c r="R103" s="21"/>
      <c r="S103" s="21"/>
      <c r="T103" s="21"/>
      <c r="U103" s="21"/>
      <c r="V103" s="21"/>
      <c r="W103" s="21"/>
      <c r="X103" s="21"/>
      <c r="Y103" s="21"/>
      <c r="Z103" s="21"/>
      <c r="AA103" s="297"/>
      <c r="AB103" s="23"/>
    </row>
    <row r="104" spans="1:28" ht="18" hidden="1">
      <c r="A104" s="39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00"/>
      <c r="P104" s="636"/>
      <c r="Q104" s="299"/>
      <c r="R104" s="21"/>
      <c r="S104" s="21"/>
      <c r="T104" s="21"/>
      <c r="U104" s="21"/>
      <c r="V104" s="21"/>
      <c r="W104" s="21"/>
      <c r="X104" s="21"/>
      <c r="Y104" s="21"/>
      <c r="Z104" s="21"/>
      <c r="AA104" s="297"/>
      <c r="AB104" s="23"/>
    </row>
    <row r="105" spans="1:28" ht="18" hidden="1">
      <c r="A105" s="39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00"/>
      <c r="P105" s="636"/>
      <c r="Q105" s="299"/>
      <c r="R105" s="21"/>
      <c r="S105" s="21"/>
      <c r="T105" s="21"/>
      <c r="U105" s="21"/>
      <c r="V105" s="21"/>
      <c r="W105" s="21"/>
      <c r="X105" s="21"/>
      <c r="Y105" s="21"/>
      <c r="Z105" s="21"/>
      <c r="AA105" s="297"/>
      <c r="AB105" s="23"/>
    </row>
    <row r="106" spans="1:28" ht="18" hidden="1">
      <c r="A106" s="39"/>
      <c r="B106" s="38"/>
      <c r="C106" s="38"/>
      <c r="D106" s="38"/>
      <c r="E106" s="38"/>
      <c r="F106" s="38"/>
      <c r="G106" s="38"/>
      <c r="H106" s="636"/>
      <c r="I106" s="38"/>
      <c r="J106" s="38"/>
      <c r="K106" s="38"/>
      <c r="L106" s="38"/>
      <c r="M106" s="38"/>
      <c r="N106" s="38"/>
      <c r="O106" s="300"/>
      <c r="P106" s="300"/>
      <c r="Q106" s="299"/>
      <c r="R106" s="21"/>
      <c r="S106" s="21"/>
      <c r="T106" s="21"/>
      <c r="U106" s="21"/>
      <c r="V106" s="21"/>
      <c r="W106" s="21"/>
      <c r="X106" s="21"/>
      <c r="Y106" s="21"/>
      <c r="Z106" s="21"/>
      <c r="AA106" s="297"/>
      <c r="AB106" s="23"/>
    </row>
    <row r="107" spans="1:28" ht="18" hidden="1">
      <c r="A107" s="39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00"/>
      <c r="P107" s="300"/>
      <c r="Q107" s="299"/>
      <c r="R107" s="21"/>
      <c r="S107" s="21"/>
      <c r="T107" s="21"/>
      <c r="U107" s="21"/>
      <c r="V107" s="21"/>
      <c r="W107" s="21"/>
      <c r="X107" s="21"/>
      <c r="Y107" s="21"/>
      <c r="Z107" s="21"/>
      <c r="AA107" s="297"/>
      <c r="AB107" s="23"/>
    </row>
    <row r="108" spans="1:28" ht="18" hidden="1">
      <c r="A108" s="39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00"/>
      <c r="P108" s="300"/>
      <c r="Q108" s="299"/>
      <c r="R108" s="21"/>
      <c r="S108" s="21"/>
      <c r="T108" s="21"/>
      <c r="U108" s="21"/>
      <c r="V108" s="21"/>
      <c r="W108" s="21"/>
      <c r="X108" s="21"/>
      <c r="Y108" s="21"/>
      <c r="Z108" s="21"/>
      <c r="AA108" s="297"/>
      <c r="AB108" s="23"/>
    </row>
    <row r="109" spans="1:28" ht="18" hidden="1">
      <c r="A109" s="39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00"/>
      <c r="P109" s="300"/>
      <c r="Q109" s="299"/>
      <c r="R109" s="21"/>
      <c r="S109" s="21"/>
      <c r="T109" s="21"/>
      <c r="U109" s="21"/>
      <c r="V109" s="21"/>
      <c r="W109" s="21"/>
      <c r="X109" s="21"/>
      <c r="Y109" s="21"/>
      <c r="Z109" s="21"/>
      <c r="AA109" s="297"/>
      <c r="AB109" s="23"/>
    </row>
    <row r="110" spans="1:28" ht="18" hidden="1">
      <c r="A110" s="39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00"/>
      <c r="P110" s="300"/>
      <c r="Q110" s="299"/>
      <c r="R110" s="21"/>
      <c r="S110" s="21"/>
      <c r="T110" s="21"/>
      <c r="U110" s="21"/>
      <c r="V110" s="21"/>
      <c r="W110" s="21"/>
      <c r="X110" s="21"/>
      <c r="Y110" s="21"/>
      <c r="Z110" s="21"/>
      <c r="AA110" s="297"/>
      <c r="AB110" s="23"/>
    </row>
    <row r="111" spans="1:28" ht="18" hidden="1">
      <c r="A111" s="39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00"/>
      <c r="P111" s="300"/>
      <c r="Q111" s="299"/>
      <c r="R111" s="21"/>
      <c r="S111" s="21"/>
      <c r="T111" s="21"/>
      <c r="U111" s="21"/>
      <c r="V111" s="21"/>
      <c r="W111" s="21"/>
      <c r="X111" s="21"/>
      <c r="Y111" s="21"/>
      <c r="Z111" s="21"/>
      <c r="AA111" s="297"/>
      <c r="AB111" s="23"/>
    </row>
    <row r="112" spans="1:28" ht="18" hidden="1">
      <c r="A112" s="39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00"/>
      <c r="P112" s="300"/>
      <c r="Q112" s="299"/>
      <c r="R112" s="21"/>
      <c r="S112" s="21"/>
      <c r="T112" s="21"/>
      <c r="U112" s="21"/>
      <c r="V112" s="21"/>
      <c r="W112" s="21"/>
      <c r="X112" s="21"/>
      <c r="Y112" s="21"/>
      <c r="Z112" s="21"/>
      <c r="AA112" s="297"/>
      <c r="AB112" s="23"/>
    </row>
    <row r="113" spans="1:28" ht="18" hidden="1">
      <c r="A113" s="39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00"/>
      <c r="P113" s="300"/>
      <c r="Q113" s="299"/>
      <c r="R113" s="21"/>
      <c r="S113" s="21"/>
      <c r="T113" s="21"/>
      <c r="U113" s="21"/>
      <c r="V113" s="21"/>
      <c r="W113" s="21"/>
      <c r="X113" s="21"/>
      <c r="Y113" s="21"/>
      <c r="Z113" s="21"/>
      <c r="AA113" s="297"/>
      <c r="AB113" s="23"/>
    </row>
    <row r="114" spans="1:28" ht="18" hidden="1">
      <c r="A114" s="39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00"/>
      <c r="P114" s="300"/>
      <c r="Q114" s="299"/>
      <c r="R114" s="21"/>
      <c r="S114" s="21"/>
      <c r="T114" s="21"/>
      <c r="U114" s="21"/>
      <c r="V114" s="21"/>
      <c r="W114" s="21"/>
      <c r="X114" s="21"/>
      <c r="Y114" s="21"/>
      <c r="Z114" s="21"/>
      <c r="AA114" s="297"/>
      <c r="AB114" s="23"/>
    </row>
    <row r="115" spans="1:28" ht="18" hidden="1">
      <c r="A115" s="39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00"/>
      <c r="P115" s="300"/>
      <c r="Q115" s="299"/>
      <c r="R115" s="21"/>
      <c r="S115" s="21"/>
      <c r="T115" s="21"/>
      <c r="U115" s="21"/>
      <c r="V115" s="21"/>
      <c r="W115" s="21"/>
      <c r="X115" s="21"/>
      <c r="Y115" s="21"/>
      <c r="Z115" s="21"/>
      <c r="AA115" s="297"/>
      <c r="AB115" s="23"/>
    </row>
    <row r="116" spans="1:28" ht="18.75" hidden="1" thickBot="1">
      <c r="A116" s="20"/>
      <c r="B116" s="25"/>
      <c r="C116" s="25"/>
      <c r="D116" s="25"/>
      <c r="E116" s="25"/>
      <c r="F116" s="25"/>
      <c r="G116" s="25"/>
      <c r="H116" s="639"/>
      <c r="I116" s="638"/>
      <c r="J116" s="638"/>
      <c r="K116" s="638"/>
      <c r="L116" s="638"/>
      <c r="M116" s="638"/>
      <c r="N116" s="638"/>
      <c r="O116" s="638"/>
      <c r="P116" s="639"/>
      <c r="Q116" s="637"/>
      <c r="R116" s="25"/>
      <c r="S116" s="25"/>
      <c r="T116" s="25"/>
      <c r="U116" s="25"/>
      <c r="V116" s="25"/>
      <c r="W116" s="25"/>
      <c r="X116" s="25"/>
      <c r="Y116" s="638"/>
      <c r="Z116" s="638"/>
      <c r="AA116" s="638"/>
      <c r="AB116" s="209"/>
    </row>
    <row r="117" spans="9:13" ht="12.75">
      <c r="I117" s="295"/>
      <c r="J117" s="295"/>
      <c r="K117" s="295"/>
      <c r="L117" s="295"/>
      <c r="M117" s="295"/>
    </row>
    <row r="118" spans="2:13" ht="12.75">
      <c r="B118" s="295"/>
      <c r="G118" s="295"/>
      <c r="J118" s="295"/>
      <c r="L118" s="295"/>
      <c r="M118" s="295"/>
    </row>
    <row r="119" spans="2:10" ht="12.75">
      <c r="B119" s="295"/>
      <c r="C119" s="295"/>
      <c r="G119" s="295"/>
      <c r="J119" s="295"/>
    </row>
    <row r="120" spans="2:7" ht="12.75">
      <c r="B120" s="295"/>
      <c r="G120" s="295"/>
    </row>
  </sheetData>
  <sheetProtection/>
  <mergeCells count="27">
    <mergeCell ref="A2:V2"/>
    <mergeCell ref="A3:V3"/>
    <mergeCell ref="A4:V4"/>
    <mergeCell ref="A7:A8"/>
    <mergeCell ref="B7:P7"/>
    <mergeCell ref="Q7:AB7"/>
    <mergeCell ref="B8:H8"/>
    <mergeCell ref="I8:P8"/>
    <mergeCell ref="Q8:U8"/>
    <mergeCell ref="A63:V63"/>
    <mergeCell ref="A65:A66"/>
    <mergeCell ref="B65:P65"/>
    <mergeCell ref="Q65:AB65"/>
    <mergeCell ref="B66:H66"/>
    <mergeCell ref="I66:P66"/>
    <mergeCell ref="Q66:U66"/>
    <mergeCell ref="V66:AB66"/>
    <mergeCell ref="Q1:Z1"/>
    <mergeCell ref="A91:V91"/>
    <mergeCell ref="A93:A94"/>
    <mergeCell ref="B93:P93"/>
    <mergeCell ref="Q93:AB93"/>
    <mergeCell ref="B94:H94"/>
    <mergeCell ref="I94:P94"/>
    <mergeCell ref="Q94:U94"/>
    <mergeCell ref="V94:AB94"/>
    <mergeCell ref="V8:AB8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31" r:id="rId1"/>
  <headerFooter alignWithMargins="0">
    <oddFooter>&amp;R
</oddFooter>
  </headerFooter>
  <colBreaks count="1" manualBreakCount="1">
    <brk id="29" max="2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Q18"/>
  <sheetViews>
    <sheetView zoomScalePageLayoutView="0" workbookViewId="0" topLeftCell="F4">
      <selection activeCell="M11" sqref="M11"/>
    </sheetView>
  </sheetViews>
  <sheetFormatPr defaultColWidth="9.140625" defaultRowHeight="12.75"/>
  <cols>
    <col min="1" max="1" width="48.28125" style="1744" customWidth="1"/>
    <col min="2" max="3" width="14.8515625" style="1745" customWidth="1"/>
    <col min="4" max="4" width="20.57421875" style="1745" customWidth="1"/>
    <col min="5" max="7" width="14.8515625" style="1745" customWidth="1"/>
    <col min="8" max="8" width="20.421875" style="1745" customWidth="1"/>
    <col min="9" max="9" width="14.8515625" style="1745" customWidth="1"/>
    <col min="10" max="10" width="11.8515625" style="1745" customWidth="1"/>
    <col min="11" max="11" width="14.8515625" style="1745" customWidth="1"/>
    <col min="12" max="12" width="20.7109375" style="1745" customWidth="1"/>
    <col min="13" max="13" width="11.57421875" style="1745" customWidth="1"/>
    <col min="14" max="14" width="10.28125" style="1745" customWidth="1"/>
    <col min="15" max="15" width="15.57421875" style="1745" customWidth="1"/>
    <col min="16" max="16" width="20.57421875" style="1745" customWidth="1"/>
    <col min="17" max="16384" width="9.140625" style="1745" customWidth="1"/>
  </cols>
  <sheetData>
    <row r="2" spans="4:9" ht="12.75">
      <c r="D2" s="1746" t="s">
        <v>908</v>
      </c>
      <c r="E2" s="1746"/>
      <c r="F2" s="1747"/>
      <c r="G2" s="1747"/>
      <c r="H2" s="1747"/>
      <c r="I2" s="1747"/>
    </row>
    <row r="4" spans="1:9" ht="19.5">
      <c r="A4" s="1748" t="s">
        <v>544</v>
      </c>
      <c r="B4" s="1748"/>
      <c r="C4" s="1748"/>
      <c r="D4" s="1748"/>
      <c r="E4" s="1748"/>
      <c r="F4" s="1749"/>
      <c r="G4" s="1749"/>
      <c r="H4" s="1749"/>
      <c r="I4" s="1749"/>
    </row>
    <row r="5" spans="1:9" ht="19.5">
      <c r="A5" s="1749"/>
      <c r="B5" s="1749"/>
      <c r="C5" s="1749"/>
      <c r="D5" s="1749"/>
      <c r="E5" s="1749"/>
      <c r="F5" s="1749"/>
      <c r="G5" s="1749"/>
      <c r="H5" s="1749"/>
      <c r="I5" s="1749"/>
    </row>
    <row r="6" spans="2:9" ht="20.25" customHeight="1" thickBot="1">
      <c r="B6" s="1750" t="s">
        <v>5</v>
      </c>
      <c r="C6" s="1750"/>
      <c r="D6" s="1750"/>
      <c r="E6" s="1750"/>
      <c r="F6" s="1750"/>
      <c r="G6" s="1750"/>
      <c r="H6" s="1750"/>
      <c r="I6" s="1750"/>
    </row>
    <row r="7" spans="1:17" ht="36.75" customHeight="1">
      <c r="A7" s="1751" t="s">
        <v>4</v>
      </c>
      <c r="B7" s="1752" t="s">
        <v>545</v>
      </c>
      <c r="C7" s="1753"/>
      <c r="D7" s="1753"/>
      <c r="E7" s="1754"/>
      <c r="F7" s="1755" t="s">
        <v>651</v>
      </c>
      <c r="G7" s="1753"/>
      <c r="H7" s="1753"/>
      <c r="I7" s="1754"/>
      <c r="J7" s="1752" t="s">
        <v>671</v>
      </c>
      <c r="K7" s="1753"/>
      <c r="L7" s="1753"/>
      <c r="M7" s="1754"/>
      <c r="N7" s="1752" t="s">
        <v>1459</v>
      </c>
      <c r="O7" s="1753"/>
      <c r="P7" s="1753"/>
      <c r="Q7" s="1754"/>
    </row>
    <row r="8" spans="1:17" ht="41.25" customHeight="1" thickBot="1">
      <c r="A8" s="1756"/>
      <c r="B8" s="1757" t="s">
        <v>29</v>
      </c>
      <c r="C8" s="1757" t="s">
        <v>203</v>
      </c>
      <c r="D8" s="1757" t="s">
        <v>204</v>
      </c>
      <c r="E8" s="1758" t="s">
        <v>1</v>
      </c>
      <c r="F8" s="1759" t="s">
        <v>29</v>
      </c>
      <c r="G8" s="1757" t="s">
        <v>203</v>
      </c>
      <c r="H8" s="1757" t="s">
        <v>204</v>
      </c>
      <c r="I8" s="1758" t="s">
        <v>1</v>
      </c>
      <c r="J8" s="1757" t="s">
        <v>29</v>
      </c>
      <c r="K8" s="1757" t="s">
        <v>203</v>
      </c>
      <c r="L8" s="1757" t="s">
        <v>204</v>
      </c>
      <c r="M8" s="1758" t="s">
        <v>1</v>
      </c>
      <c r="N8" s="1757" t="s">
        <v>29</v>
      </c>
      <c r="O8" s="1757" t="s">
        <v>203</v>
      </c>
      <c r="P8" s="1757" t="s">
        <v>204</v>
      </c>
      <c r="Q8" s="1758" t="s">
        <v>1</v>
      </c>
    </row>
    <row r="9" spans="1:17" ht="30" customHeight="1">
      <c r="A9" s="1760" t="s">
        <v>212</v>
      </c>
      <c r="B9" s="1761">
        <v>16</v>
      </c>
      <c r="C9" s="1761">
        <v>1</v>
      </c>
      <c r="D9" s="1762">
        <v>1</v>
      </c>
      <c r="E9" s="1763">
        <f>SUM(B9:C9)</f>
        <v>17</v>
      </c>
      <c r="F9" s="1761">
        <v>16</v>
      </c>
      <c r="G9" s="1761">
        <v>1</v>
      </c>
      <c r="H9" s="1762">
        <v>1</v>
      </c>
      <c r="I9" s="1763">
        <f>SUM(F9:G9)</f>
        <v>17</v>
      </c>
      <c r="J9" s="1761">
        <v>17</v>
      </c>
      <c r="K9" s="1761">
        <v>0</v>
      </c>
      <c r="L9" s="1762">
        <v>1</v>
      </c>
      <c r="M9" s="1763">
        <f>SUM(J9:K9)</f>
        <v>17</v>
      </c>
      <c r="N9" s="1761">
        <v>16</v>
      </c>
      <c r="O9" s="1761">
        <v>0</v>
      </c>
      <c r="P9" s="1762">
        <v>1</v>
      </c>
      <c r="Q9" s="1763">
        <f>SUM(N9:O9)</f>
        <v>16</v>
      </c>
    </row>
    <row r="10" spans="1:17" ht="30" customHeight="1">
      <c r="A10" s="1760" t="s">
        <v>213</v>
      </c>
      <c r="B10" s="1761">
        <v>4.5</v>
      </c>
      <c r="C10" s="1761">
        <v>2.5</v>
      </c>
      <c r="D10" s="1761">
        <v>0</v>
      </c>
      <c r="E10" s="1763">
        <f>SUM(B10:C10)</f>
        <v>7</v>
      </c>
      <c r="F10" s="1761">
        <f>4.5+2</f>
        <v>6.5</v>
      </c>
      <c r="G10" s="1761">
        <v>2.5</v>
      </c>
      <c r="H10" s="1761">
        <v>0</v>
      </c>
      <c r="I10" s="1763">
        <f>SUM(F10:G10)</f>
        <v>9</v>
      </c>
      <c r="J10" s="1761">
        <f>1+2+0.5+2</f>
        <v>5.5</v>
      </c>
      <c r="K10" s="1761">
        <v>2.5</v>
      </c>
      <c r="L10" s="1761">
        <v>0</v>
      </c>
      <c r="M10" s="1763">
        <f>SUM(J10:K10)</f>
        <v>8</v>
      </c>
      <c r="N10" s="1761">
        <f>1+2+0.5+2</f>
        <v>5.5</v>
      </c>
      <c r="O10" s="1761">
        <v>2.5</v>
      </c>
      <c r="P10" s="1761">
        <v>0</v>
      </c>
      <c r="Q10" s="1763">
        <f>SUM(N10:O10)</f>
        <v>8</v>
      </c>
    </row>
    <row r="11" spans="1:17" ht="30" customHeight="1" thickBot="1">
      <c r="A11" s="1764" t="s">
        <v>214</v>
      </c>
      <c r="B11" s="1765">
        <v>14</v>
      </c>
      <c r="C11" s="1765">
        <v>9</v>
      </c>
      <c r="D11" s="1765">
        <v>3</v>
      </c>
      <c r="E11" s="1763">
        <f>SUM(B11:C11)</f>
        <v>23</v>
      </c>
      <c r="F11" s="1765">
        <v>14</v>
      </c>
      <c r="G11" s="1765">
        <v>9</v>
      </c>
      <c r="H11" s="1765">
        <v>3</v>
      </c>
      <c r="I11" s="1763">
        <f>SUM(F11:G11)</f>
        <v>23</v>
      </c>
      <c r="J11" s="1765">
        <v>17</v>
      </c>
      <c r="K11" s="1765">
        <v>9</v>
      </c>
      <c r="L11" s="1765">
        <v>3</v>
      </c>
      <c r="M11" s="1763">
        <f>SUM(J11:K11)</f>
        <v>26</v>
      </c>
      <c r="N11" s="1765">
        <v>17</v>
      </c>
      <c r="O11" s="1765">
        <v>9</v>
      </c>
      <c r="P11" s="1765">
        <v>3</v>
      </c>
      <c r="Q11" s="1763">
        <f>SUM(N11:O11)</f>
        <v>26</v>
      </c>
    </row>
    <row r="12" spans="1:17" ht="54.75" customHeight="1" thickBot="1">
      <c r="A12" s="1766" t="s">
        <v>25</v>
      </c>
      <c r="B12" s="1767">
        <f aca="true" t="shared" si="0" ref="B12:I12">SUM(B9:B11)</f>
        <v>34.5</v>
      </c>
      <c r="C12" s="1767">
        <f t="shared" si="0"/>
        <v>12.5</v>
      </c>
      <c r="D12" s="1767">
        <f t="shared" si="0"/>
        <v>4</v>
      </c>
      <c r="E12" s="1768">
        <f t="shared" si="0"/>
        <v>47</v>
      </c>
      <c r="F12" s="1767">
        <f t="shared" si="0"/>
        <v>36.5</v>
      </c>
      <c r="G12" s="1767">
        <f t="shared" si="0"/>
        <v>12.5</v>
      </c>
      <c r="H12" s="1767">
        <f t="shared" si="0"/>
        <v>4</v>
      </c>
      <c r="I12" s="1768">
        <f t="shared" si="0"/>
        <v>49</v>
      </c>
      <c r="J12" s="1767">
        <f aca="true" t="shared" si="1" ref="J12:Q12">SUM(J9:J11)</f>
        <v>39.5</v>
      </c>
      <c r="K12" s="1767">
        <f t="shared" si="1"/>
        <v>11.5</v>
      </c>
      <c r="L12" s="1767">
        <f t="shared" si="1"/>
        <v>4</v>
      </c>
      <c r="M12" s="1768">
        <f t="shared" si="1"/>
        <v>51</v>
      </c>
      <c r="N12" s="1767">
        <f t="shared" si="1"/>
        <v>38.5</v>
      </c>
      <c r="O12" s="1767">
        <f t="shared" si="1"/>
        <v>11.5</v>
      </c>
      <c r="P12" s="1767">
        <f t="shared" si="1"/>
        <v>4</v>
      </c>
      <c r="Q12" s="1768">
        <f t="shared" si="1"/>
        <v>50</v>
      </c>
    </row>
    <row r="13" ht="13.5" thickBot="1"/>
    <row r="14" spans="1:17" ht="30.75" customHeight="1" thickBot="1">
      <c r="A14" s="1769" t="s">
        <v>52</v>
      </c>
      <c r="B14" s="1770"/>
      <c r="C14" s="1770"/>
      <c r="D14" s="1771"/>
      <c r="E14" s="1772">
        <v>11</v>
      </c>
      <c r="F14" s="1773"/>
      <c r="G14" s="1774"/>
      <c r="H14" s="1775"/>
      <c r="I14" s="1772">
        <v>11</v>
      </c>
      <c r="J14" s="1773"/>
      <c r="K14" s="1774"/>
      <c r="L14" s="1775"/>
      <c r="M14" s="1772">
        <v>6</v>
      </c>
      <c r="N14" s="1773"/>
      <c r="O14" s="1774"/>
      <c r="P14" s="1775"/>
      <c r="Q14" s="1772">
        <v>6</v>
      </c>
    </row>
    <row r="16" ht="12.75">
      <c r="A16" s="1744" t="s">
        <v>106</v>
      </c>
    </row>
    <row r="18" spans="5:9" ht="12.75">
      <c r="E18" s="1776"/>
      <c r="F18" s="1776"/>
      <c r="G18" s="1776"/>
      <c r="H18" s="1776"/>
      <c r="I18" s="1776"/>
    </row>
  </sheetData>
  <sheetProtection/>
  <mergeCells count="12">
    <mergeCell ref="D2:E2"/>
    <mergeCell ref="B7:E7"/>
    <mergeCell ref="A4:E4"/>
    <mergeCell ref="B6:I6"/>
    <mergeCell ref="F7:I7"/>
    <mergeCell ref="N7:Q7"/>
    <mergeCell ref="N14:P14"/>
    <mergeCell ref="A14:D14"/>
    <mergeCell ref="F14:H14"/>
    <mergeCell ref="J7:M7"/>
    <mergeCell ref="J14:L14"/>
    <mergeCell ref="A7:A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19" sqref="D19"/>
    </sheetView>
  </sheetViews>
  <sheetFormatPr defaultColWidth="9.140625" defaultRowHeight="12.75"/>
  <cols>
    <col min="1" max="1" width="41.00390625" style="1162" customWidth="1"/>
    <col min="2" max="2" width="15.57421875" style="1162" bestFit="1" customWidth="1"/>
    <col min="3" max="3" width="15.00390625" style="1162" bestFit="1" customWidth="1"/>
    <col min="4" max="4" width="18.00390625" style="1162" customWidth="1"/>
    <col min="5" max="5" width="12.8515625" style="1162" customWidth="1"/>
    <col min="6" max="16384" width="9.140625" style="1162" customWidth="1"/>
  </cols>
  <sheetData>
    <row r="1" spans="1:5" ht="12.75">
      <c r="A1" s="1529" t="s">
        <v>398</v>
      </c>
      <c r="B1" s="1529"/>
      <c r="C1" s="1529"/>
      <c r="D1" s="1529"/>
      <c r="E1" s="1529"/>
    </row>
    <row r="3" spans="1:5" ht="12.75">
      <c r="A3" s="1530" t="s">
        <v>935</v>
      </c>
      <c r="B3" s="1530"/>
      <c r="C3" s="1530"/>
      <c r="D3" s="1530"/>
      <c r="E3" s="1530"/>
    </row>
    <row r="5" spans="1:5" ht="12.75">
      <c r="A5" s="1531" t="s">
        <v>474</v>
      </c>
      <c r="B5" s="1531"/>
      <c r="C5" s="1531"/>
      <c r="D5" s="1531"/>
      <c r="E5" s="1531"/>
    </row>
    <row r="6" spans="1:5" ht="38.25">
      <c r="A6" s="1163" t="s">
        <v>4</v>
      </c>
      <c r="B6" s="1163" t="s">
        <v>213</v>
      </c>
      <c r="C6" s="1163" t="s">
        <v>936</v>
      </c>
      <c r="D6" s="1163" t="s">
        <v>214</v>
      </c>
      <c r="E6" s="1163" t="s">
        <v>1</v>
      </c>
    </row>
    <row r="7" spans="1:5" ht="12.75">
      <c r="A7" s="1164" t="s">
        <v>937</v>
      </c>
      <c r="B7" s="1177">
        <v>626759723</v>
      </c>
      <c r="C7" s="1178">
        <v>3348367</v>
      </c>
      <c r="D7" s="1165">
        <v>34726381</v>
      </c>
      <c r="E7" s="1166">
        <f>SUM(B7:D7)</f>
        <v>664834471</v>
      </c>
    </row>
    <row r="8" spans="1:5" ht="12.75">
      <c r="A8" s="1164" t="s">
        <v>938</v>
      </c>
      <c r="B8" s="1177">
        <v>584319312</v>
      </c>
      <c r="C8" s="1178">
        <v>101190353</v>
      </c>
      <c r="D8" s="1165">
        <v>137627422</v>
      </c>
      <c r="E8" s="1166">
        <f aca="true" t="shared" si="0" ref="E8:E16">SUM(B8:D8)</f>
        <v>823137087</v>
      </c>
    </row>
    <row r="9" spans="1:5" ht="12.75">
      <c r="A9" s="1167" t="s">
        <v>939</v>
      </c>
      <c r="B9" s="1180">
        <v>42440411</v>
      </c>
      <c r="C9" s="1181">
        <v>-97841986</v>
      </c>
      <c r="D9" s="1168">
        <v>-102901041</v>
      </c>
      <c r="E9" s="1169">
        <f t="shared" si="0"/>
        <v>-158302616</v>
      </c>
    </row>
    <row r="10" spans="1:5" ht="12.75">
      <c r="A10" s="1164" t="s">
        <v>940</v>
      </c>
      <c r="B10" s="1177">
        <v>361160992</v>
      </c>
      <c r="C10" s="1178">
        <v>98742448</v>
      </c>
      <c r="D10" s="1165">
        <v>104582210</v>
      </c>
      <c r="E10" s="1166">
        <f t="shared" si="0"/>
        <v>564485650</v>
      </c>
    </row>
    <row r="11" spans="1:5" ht="12.75">
      <c r="A11" s="1164" t="s">
        <v>941</v>
      </c>
      <c r="B11" s="1177">
        <v>213985817</v>
      </c>
      <c r="C11" s="1165">
        <v>0</v>
      </c>
      <c r="D11" s="1165">
        <v>0</v>
      </c>
      <c r="E11" s="1166">
        <f t="shared" si="0"/>
        <v>213985817</v>
      </c>
    </row>
    <row r="12" spans="1:5" ht="12.75">
      <c r="A12" s="1167" t="s">
        <v>942</v>
      </c>
      <c r="B12" s="1180">
        <v>147175175</v>
      </c>
      <c r="C12" s="1181">
        <v>98742448</v>
      </c>
      <c r="D12" s="1168">
        <v>104582210</v>
      </c>
      <c r="E12" s="1169">
        <f>SUM(B12:D12)</f>
        <v>350499833</v>
      </c>
    </row>
    <row r="13" spans="1:5" ht="12.75">
      <c r="A13" s="1167" t="s">
        <v>943</v>
      </c>
      <c r="B13" s="1180">
        <v>189615586</v>
      </c>
      <c r="C13" s="1181">
        <v>900462</v>
      </c>
      <c r="D13" s="1168">
        <v>1681169</v>
      </c>
      <c r="E13" s="1169">
        <f t="shared" si="0"/>
        <v>192197217</v>
      </c>
    </row>
    <row r="14" spans="1:5" ht="12.75">
      <c r="A14" s="1167" t="s">
        <v>944</v>
      </c>
      <c r="B14" s="1180">
        <v>189615586</v>
      </c>
      <c r="C14" s="1181">
        <v>900462</v>
      </c>
      <c r="D14" s="1168">
        <v>1681169</v>
      </c>
      <c r="E14" s="1169">
        <f t="shared" si="0"/>
        <v>192197217</v>
      </c>
    </row>
    <row r="15" spans="1:5" ht="25.5">
      <c r="A15" s="1167" t="s">
        <v>945</v>
      </c>
      <c r="B15" s="1180">
        <v>180830</v>
      </c>
      <c r="C15" s="1168">
        <v>0</v>
      </c>
      <c r="D15" s="1168"/>
      <c r="E15" s="1169">
        <f t="shared" si="0"/>
        <v>180830</v>
      </c>
    </row>
    <row r="16" spans="1:5" ht="12.75">
      <c r="A16" s="1167" t="s">
        <v>946</v>
      </c>
      <c r="B16" s="1180">
        <v>189434756</v>
      </c>
      <c r="C16" s="1181">
        <v>900462</v>
      </c>
      <c r="D16" s="1168">
        <v>1681169</v>
      </c>
      <c r="E16" s="1169">
        <f t="shared" si="0"/>
        <v>192016387</v>
      </c>
    </row>
  </sheetData>
  <sheetProtection/>
  <mergeCells count="3">
    <mergeCell ref="A1:E1"/>
    <mergeCell ref="A3:E3"/>
    <mergeCell ref="A5:E5"/>
  </mergeCells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8"/>
  <sheetViews>
    <sheetView workbookViewId="0" topLeftCell="B241">
      <selection activeCell="F258" sqref="F258"/>
    </sheetView>
  </sheetViews>
  <sheetFormatPr defaultColWidth="9.140625" defaultRowHeight="12.75"/>
  <cols>
    <col min="1" max="1" width="8.140625" style="1162" hidden="1" customWidth="1"/>
    <col min="2" max="2" width="41.00390625" style="1162" customWidth="1"/>
    <col min="3" max="3" width="14.421875" style="1162" customWidth="1"/>
    <col min="4" max="4" width="14.8515625" style="1162" customWidth="1"/>
    <col min="5" max="5" width="12.7109375" style="1162" customWidth="1"/>
    <col min="6" max="6" width="12.57421875" style="1162" customWidth="1"/>
    <col min="7" max="7" width="13.421875" style="1162" customWidth="1"/>
    <col min="8" max="8" width="13.140625" style="1162" customWidth="1"/>
    <col min="9" max="9" width="14.8515625" style="1162" customWidth="1"/>
    <col min="10" max="10" width="13.28125" style="1162" customWidth="1"/>
    <col min="11" max="16384" width="9.140625" style="1162" customWidth="1"/>
  </cols>
  <sheetData>
    <row r="1" spans="1:9" ht="12.75" customHeight="1">
      <c r="A1" s="1529" t="s">
        <v>947</v>
      </c>
      <c r="B1" s="1529"/>
      <c r="C1" s="1529"/>
      <c r="D1" s="1529"/>
      <c r="E1" s="1529"/>
      <c r="F1" s="1529"/>
      <c r="G1" s="1529"/>
      <c r="H1" s="1529"/>
      <c r="I1" s="1529"/>
    </row>
    <row r="2" spans="1:9" ht="12.75">
      <c r="A2" s="1530" t="s">
        <v>736</v>
      </c>
      <c r="B2" s="1530"/>
      <c r="C2" s="1530"/>
      <c r="D2" s="1530"/>
      <c r="E2" s="1530"/>
      <c r="F2" s="1530"/>
      <c r="G2" s="1530"/>
      <c r="H2" s="1530"/>
      <c r="I2" s="1530"/>
    </row>
    <row r="3" spans="1:9" ht="12.75">
      <c r="A3" s="1530" t="s">
        <v>948</v>
      </c>
      <c r="B3" s="1530"/>
      <c r="C3" s="1530"/>
      <c r="D3" s="1530"/>
      <c r="E3" s="1530"/>
      <c r="F3" s="1530"/>
      <c r="G3" s="1530"/>
      <c r="H3" s="1530"/>
      <c r="I3" s="1530"/>
    </row>
    <row r="6" spans="1:9" ht="12.75">
      <c r="A6" s="1531" t="s">
        <v>474</v>
      </c>
      <c r="B6" s="1531"/>
      <c r="C6" s="1531"/>
      <c r="D6" s="1531"/>
      <c r="E6" s="1531"/>
      <c r="F6" s="1531"/>
      <c r="G6" s="1531"/>
      <c r="H6" s="1531"/>
      <c r="I6" s="1531"/>
    </row>
    <row r="7" spans="1:10" ht="42" customHeight="1">
      <c r="A7" s="1170"/>
      <c r="B7" s="1171"/>
      <c r="C7" s="1532" t="s">
        <v>213</v>
      </c>
      <c r="D7" s="1532"/>
      <c r="E7" s="1532" t="s">
        <v>949</v>
      </c>
      <c r="F7" s="1532"/>
      <c r="G7" s="1532" t="s">
        <v>214</v>
      </c>
      <c r="H7" s="1532"/>
      <c r="I7" s="1532" t="s">
        <v>950</v>
      </c>
      <c r="J7" s="1532"/>
    </row>
    <row r="8" spans="1:10" ht="25.5">
      <c r="A8" s="1170" t="s">
        <v>951</v>
      </c>
      <c r="B8" s="1172" t="s">
        <v>4</v>
      </c>
      <c r="C8" s="1172" t="s">
        <v>952</v>
      </c>
      <c r="D8" s="1172" t="s">
        <v>953</v>
      </c>
      <c r="E8" s="1173" t="s">
        <v>952</v>
      </c>
      <c r="F8" s="1173" t="s">
        <v>953</v>
      </c>
      <c r="G8" s="1173" t="s">
        <v>952</v>
      </c>
      <c r="H8" s="1173" t="s">
        <v>953</v>
      </c>
      <c r="I8" s="1172" t="s">
        <v>952</v>
      </c>
      <c r="J8" s="1172" t="s">
        <v>953</v>
      </c>
    </row>
    <row r="9" spans="1:10" ht="12.75" hidden="1">
      <c r="A9" s="1170" t="s">
        <v>954</v>
      </c>
      <c r="B9" s="1176" t="s">
        <v>955</v>
      </c>
      <c r="C9" s="1177">
        <v>0</v>
      </c>
      <c r="D9" s="1177">
        <v>0</v>
      </c>
      <c r="E9" s="1178">
        <v>0</v>
      </c>
      <c r="F9" s="1178">
        <v>0</v>
      </c>
      <c r="G9" s="1178">
        <v>0</v>
      </c>
      <c r="H9" s="1178">
        <v>0</v>
      </c>
      <c r="I9" s="1174">
        <f>+C9+E9+G9</f>
        <v>0</v>
      </c>
      <c r="J9" s="1174">
        <f>+D9+F9+H9</f>
        <v>0</v>
      </c>
    </row>
    <row r="10" spans="1:10" ht="12.75">
      <c r="A10" s="1170" t="s">
        <v>956</v>
      </c>
      <c r="B10" s="1176" t="s">
        <v>957</v>
      </c>
      <c r="C10" s="1177">
        <v>2507898</v>
      </c>
      <c r="D10" s="1177">
        <v>7302898</v>
      </c>
      <c r="E10" s="1178">
        <v>0</v>
      </c>
      <c r="F10" s="1178">
        <v>0</v>
      </c>
      <c r="G10" s="1178">
        <v>0</v>
      </c>
      <c r="H10" s="1178">
        <v>0</v>
      </c>
      <c r="I10" s="1178">
        <f aca="true" t="shared" si="0" ref="I10:J73">+C10+E10+G10</f>
        <v>2507898</v>
      </c>
      <c r="J10" s="1178">
        <f t="shared" si="0"/>
        <v>7302898</v>
      </c>
    </row>
    <row r="11" spans="1:10" ht="12.75" hidden="1">
      <c r="A11" s="1170" t="s">
        <v>958</v>
      </c>
      <c r="B11" s="1176" t="s">
        <v>959</v>
      </c>
      <c r="C11" s="1177">
        <v>0</v>
      </c>
      <c r="D11" s="1177">
        <v>0</v>
      </c>
      <c r="E11" s="1178">
        <v>0</v>
      </c>
      <c r="F11" s="1178">
        <v>0</v>
      </c>
      <c r="G11" s="1178">
        <v>0</v>
      </c>
      <c r="H11" s="1178">
        <v>0</v>
      </c>
      <c r="I11" s="1178">
        <f t="shared" si="0"/>
        <v>0</v>
      </c>
      <c r="J11" s="1178">
        <f t="shared" si="0"/>
        <v>0</v>
      </c>
    </row>
    <row r="12" spans="1:10" ht="12.75">
      <c r="A12" s="1175" t="s">
        <v>960</v>
      </c>
      <c r="B12" s="1179" t="s">
        <v>961</v>
      </c>
      <c r="C12" s="1180">
        <v>2507898</v>
      </c>
      <c r="D12" s="1180">
        <v>7302898</v>
      </c>
      <c r="E12" s="1181">
        <v>0</v>
      </c>
      <c r="F12" s="1181">
        <v>0</v>
      </c>
      <c r="G12" s="1181">
        <v>0</v>
      </c>
      <c r="H12" s="1181">
        <v>0</v>
      </c>
      <c r="I12" s="1181">
        <f t="shared" si="0"/>
        <v>2507898</v>
      </c>
      <c r="J12" s="1181">
        <f t="shared" si="0"/>
        <v>7302898</v>
      </c>
    </row>
    <row r="13" spans="1:10" ht="25.5">
      <c r="A13" s="1170" t="s">
        <v>962</v>
      </c>
      <c r="B13" s="1176" t="s">
        <v>963</v>
      </c>
      <c r="C13" s="1177">
        <v>822588674</v>
      </c>
      <c r="D13" s="1177">
        <v>933654468</v>
      </c>
      <c r="E13" s="1178">
        <v>0</v>
      </c>
      <c r="F13" s="1178">
        <v>0</v>
      </c>
      <c r="G13" s="1178">
        <v>0</v>
      </c>
      <c r="H13" s="1178">
        <v>0</v>
      </c>
      <c r="I13" s="1178">
        <f t="shared" si="0"/>
        <v>822588674</v>
      </c>
      <c r="J13" s="1178">
        <f t="shared" si="0"/>
        <v>933654468</v>
      </c>
    </row>
    <row r="14" spans="1:10" ht="25.5">
      <c r="A14" s="1170" t="s">
        <v>964</v>
      </c>
      <c r="B14" s="1176" t="s">
        <v>965</v>
      </c>
      <c r="C14" s="1177">
        <v>2407421</v>
      </c>
      <c r="D14" s="1177">
        <v>4160689</v>
      </c>
      <c r="E14" s="1178">
        <v>222683</v>
      </c>
      <c r="F14" s="1178">
        <v>84412</v>
      </c>
      <c r="G14" s="1178">
        <v>1213325</v>
      </c>
      <c r="H14" s="1178">
        <v>2121662</v>
      </c>
      <c r="I14" s="1178">
        <f t="shared" si="0"/>
        <v>3843429</v>
      </c>
      <c r="J14" s="1178">
        <f t="shared" si="0"/>
        <v>6366763</v>
      </c>
    </row>
    <row r="15" spans="1:10" ht="12.75" hidden="1">
      <c r="A15" s="1170" t="s">
        <v>966</v>
      </c>
      <c r="B15" s="1176" t="s">
        <v>967</v>
      </c>
      <c r="C15" s="1177">
        <v>0</v>
      </c>
      <c r="D15" s="1177">
        <v>0</v>
      </c>
      <c r="E15" s="1178">
        <v>0</v>
      </c>
      <c r="F15" s="1178">
        <v>0</v>
      </c>
      <c r="G15" s="1178">
        <v>0</v>
      </c>
      <c r="H15" s="1178">
        <v>0</v>
      </c>
      <c r="I15" s="1178">
        <f t="shared" si="0"/>
        <v>0</v>
      </c>
      <c r="J15" s="1178">
        <f t="shared" si="0"/>
        <v>0</v>
      </c>
    </row>
    <row r="16" spans="1:10" ht="12.75">
      <c r="A16" s="1170" t="s">
        <v>968</v>
      </c>
      <c r="B16" s="1176" t="s">
        <v>969</v>
      </c>
      <c r="C16" s="1177">
        <v>50589772</v>
      </c>
      <c r="D16" s="1177">
        <v>161299684</v>
      </c>
      <c r="E16" s="1178">
        <v>0</v>
      </c>
      <c r="F16" s="1178">
        <v>0</v>
      </c>
      <c r="G16" s="1178">
        <v>0</v>
      </c>
      <c r="H16" s="1178">
        <v>0</v>
      </c>
      <c r="I16" s="1178">
        <f t="shared" si="0"/>
        <v>50589772</v>
      </c>
      <c r="J16" s="1178">
        <f t="shared" si="0"/>
        <v>161299684</v>
      </c>
    </row>
    <row r="17" spans="1:10" ht="12.75" hidden="1">
      <c r="A17" s="1170" t="s">
        <v>970</v>
      </c>
      <c r="B17" s="1176" t="s">
        <v>971</v>
      </c>
      <c r="C17" s="1177">
        <v>0</v>
      </c>
      <c r="D17" s="1177">
        <v>0</v>
      </c>
      <c r="E17" s="1178">
        <v>0</v>
      </c>
      <c r="F17" s="1178">
        <v>0</v>
      </c>
      <c r="G17" s="1178">
        <v>0</v>
      </c>
      <c r="H17" s="1178">
        <v>0</v>
      </c>
      <c r="I17" s="1178">
        <f t="shared" si="0"/>
        <v>0</v>
      </c>
      <c r="J17" s="1178">
        <f t="shared" si="0"/>
        <v>0</v>
      </c>
    </row>
    <row r="18" spans="1:10" ht="12.75">
      <c r="A18" s="1175" t="s">
        <v>972</v>
      </c>
      <c r="B18" s="1179" t="s">
        <v>973</v>
      </c>
      <c r="C18" s="1180">
        <v>875585867</v>
      </c>
      <c r="D18" s="1180">
        <v>1099114841</v>
      </c>
      <c r="E18" s="1181">
        <v>222683</v>
      </c>
      <c r="F18" s="1181">
        <v>84412</v>
      </c>
      <c r="G18" s="1181">
        <v>1213325</v>
      </c>
      <c r="H18" s="1181">
        <v>2121662</v>
      </c>
      <c r="I18" s="1181">
        <f t="shared" si="0"/>
        <v>877021875</v>
      </c>
      <c r="J18" s="1181">
        <f t="shared" si="0"/>
        <v>1101320915</v>
      </c>
    </row>
    <row r="19" spans="1:10" ht="25.5">
      <c r="A19" s="1170" t="s">
        <v>974</v>
      </c>
      <c r="B19" s="1176" t="s">
        <v>975</v>
      </c>
      <c r="C19" s="1177">
        <v>11580000</v>
      </c>
      <c r="D19" s="1177">
        <v>11580000</v>
      </c>
      <c r="E19" s="1178">
        <v>0</v>
      </c>
      <c r="F19" s="1178">
        <v>0</v>
      </c>
      <c r="G19" s="1178">
        <v>0</v>
      </c>
      <c r="H19" s="1178">
        <v>0</v>
      </c>
      <c r="I19" s="1178">
        <f t="shared" si="0"/>
        <v>11580000</v>
      </c>
      <c r="J19" s="1178">
        <f t="shared" si="0"/>
        <v>11580000</v>
      </c>
    </row>
    <row r="20" spans="1:10" ht="25.5" customHeight="1" hidden="1">
      <c r="A20" s="1170" t="s">
        <v>976</v>
      </c>
      <c r="B20" s="1176" t="s">
        <v>977</v>
      </c>
      <c r="C20" s="1177">
        <v>0</v>
      </c>
      <c r="D20" s="1177">
        <v>0</v>
      </c>
      <c r="E20" s="1178">
        <v>0</v>
      </c>
      <c r="F20" s="1178">
        <v>0</v>
      </c>
      <c r="G20" s="1178">
        <v>0</v>
      </c>
      <c r="H20" s="1178">
        <v>0</v>
      </c>
      <c r="I20" s="1178">
        <f t="shared" si="0"/>
        <v>0</v>
      </c>
      <c r="J20" s="1178">
        <f t="shared" si="0"/>
        <v>0</v>
      </c>
    </row>
    <row r="21" spans="1:10" ht="25.5">
      <c r="A21" s="1170" t="s">
        <v>978</v>
      </c>
      <c r="B21" s="1176" t="s">
        <v>979</v>
      </c>
      <c r="C21" s="1177">
        <v>11580000</v>
      </c>
      <c r="D21" s="1177">
        <v>11580000</v>
      </c>
      <c r="E21" s="1178">
        <v>0</v>
      </c>
      <c r="F21" s="1178">
        <v>0</v>
      </c>
      <c r="G21" s="1178">
        <v>0</v>
      </c>
      <c r="H21" s="1178">
        <v>0</v>
      </c>
      <c r="I21" s="1178">
        <f t="shared" si="0"/>
        <v>11580000</v>
      </c>
      <c r="J21" s="1178">
        <f t="shared" si="0"/>
        <v>11580000</v>
      </c>
    </row>
    <row r="22" spans="1:10" ht="25.5" customHeight="1" hidden="1">
      <c r="A22" s="1170" t="s">
        <v>980</v>
      </c>
      <c r="B22" s="1176" t="s">
        <v>981</v>
      </c>
      <c r="C22" s="1177">
        <v>0</v>
      </c>
      <c r="D22" s="1177">
        <v>0</v>
      </c>
      <c r="E22" s="1178">
        <v>0</v>
      </c>
      <c r="F22" s="1178">
        <v>0</v>
      </c>
      <c r="G22" s="1178">
        <v>0</v>
      </c>
      <c r="H22" s="1178">
        <v>0</v>
      </c>
      <c r="I22" s="1178">
        <f t="shared" si="0"/>
        <v>0</v>
      </c>
      <c r="J22" s="1178">
        <f t="shared" si="0"/>
        <v>0</v>
      </c>
    </row>
    <row r="23" spans="1:10" ht="25.5" customHeight="1" hidden="1">
      <c r="A23" s="1170" t="s">
        <v>982</v>
      </c>
      <c r="B23" s="1176" t="s">
        <v>983</v>
      </c>
      <c r="C23" s="1177">
        <v>0</v>
      </c>
      <c r="D23" s="1177">
        <v>0</v>
      </c>
      <c r="E23" s="1178">
        <v>0</v>
      </c>
      <c r="F23" s="1178">
        <v>0</v>
      </c>
      <c r="G23" s="1178">
        <v>0</v>
      </c>
      <c r="H23" s="1178">
        <v>0</v>
      </c>
      <c r="I23" s="1178">
        <f t="shared" si="0"/>
        <v>0</v>
      </c>
      <c r="J23" s="1178">
        <f t="shared" si="0"/>
        <v>0</v>
      </c>
    </row>
    <row r="24" spans="1:10" ht="12.75" customHeight="1" hidden="1">
      <c r="A24" s="1170" t="s">
        <v>984</v>
      </c>
      <c r="B24" s="1176" t="s">
        <v>985</v>
      </c>
      <c r="C24" s="1177">
        <v>0</v>
      </c>
      <c r="D24" s="1177">
        <v>0</v>
      </c>
      <c r="E24" s="1178">
        <v>0</v>
      </c>
      <c r="F24" s="1178">
        <v>0</v>
      </c>
      <c r="G24" s="1178">
        <v>0</v>
      </c>
      <c r="H24" s="1178">
        <v>0</v>
      </c>
      <c r="I24" s="1178">
        <f t="shared" si="0"/>
        <v>0</v>
      </c>
      <c r="J24" s="1178">
        <f t="shared" si="0"/>
        <v>0</v>
      </c>
    </row>
    <row r="25" spans="1:10" ht="25.5" customHeight="1" hidden="1">
      <c r="A25" s="1170" t="s">
        <v>986</v>
      </c>
      <c r="B25" s="1176" t="s">
        <v>987</v>
      </c>
      <c r="C25" s="1177">
        <v>0</v>
      </c>
      <c r="D25" s="1177">
        <v>0</v>
      </c>
      <c r="E25" s="1178">
        <v>0</v>
      </c>
      <c r="F25" s="1178">
        <v>0</v>
      </c>
      <c r="G25" s="1178">
        <v>0</v>
      </c>
      <c r="H25" s="1178">
        <v>0</v>
      </c>
      <c r="I25" s="1178">
        <f t="shared" si="0"/>
        <v>0</v>
      </c>
      <c r="J25" s="1178">
        <f t="shared" si="0"/>
        <v>0</v>
      </c>
    </row>
    <row r="26" spans="1:10" ht="12.75" customHeight="1" hidden="1">
      <c r="A26" s="1170" t="s">
        <v>988</v>
      </c>
      <c r="B26" s="1176" t="s">
        <v>989</v>
      </c>
      <c r="C26" s="1177">
        <v>0</v>
      </c>
      <c r="D26" s="1177">
        <v>0</v>
      </c>
      <c r="E26" s="1178">
        <v>0</v>
      </c>
      <c r="F26" s="1178">
        <v>0</v>
      </c>
      <c r="G26" s="1178">
        <v>0</v>
      </c>
      <c r="H26" s="1178">
        <v>0</v>
      </c>
      <c r="I26" s="1178">
        <f t="shared" si="0"/>
        <v>0</v>
      </c>
      <c r="J26" s="1178">
        <f t="shared" si="0"/>
        <v>0</v>
      </c>
    </row>
    <row r="27" spans="1:10" ht="25.5" customHeight="1" hidden="1">
      <c r="A27" s="1170" t="s">
        <v>990</v>
      </c>
      <c r="B27" s="1176" t="s">
        <v>991</v>
      </c>
      <c r="C27" s="1177">
        <v>0</v>
      </c>
      <c r="D27" s="1177">
        <v>0</v>
      </c>
      <c r="E27" s="1178">
        <v>0</v>
      </c>
      <c r="F27" s="1178">
        <v>0</v>
      </c>
      <c r="G27" s="1178">
        <v>0</v>
      </c>
      <c r="H27" s="1178">
        <v>0</v>
      </c>
      <c r="I27" s="1178">
        <f t="shared" si="0"/>
        <v>0</v>
      </c>
      <c r="J27" s="1178">
        <f t="shared" si="0"/>
        <v>0</v>
      </c>
    </row>
    <row r="28" spans="1:10" ht="25.5" customHeight="1" hidden="1">
      <c r="A28" s="1170" t="s">
        <v>992</v>
      </c>
      <c r="B28" s="1176" t="s">
        <v>993</v>
      </c>
      <c r="C28" s="1177">
        <v>0</v>
      </c>
      <c r="D28" s="1177">
        <v>0</v>
      </c>
      <c r="E28" s="1178">
        <v>0</v>
      </c>
      <c r="F28" s="1178">
        <v>0</v>
      </c>
      <c r="G28" s="1178">
        <v>0</v>
      </c>
      <c r="H28" s="1178">
        <v>0</v>
      </c>
      <c r="I28" s="1178">
        <f t="shared" si="0"/>
        <v>0</v>
      </c>
      <c r="J28" s="1178">
        <f t="shared" si="0"/>
        <v>0</v>
      </c>
    </row>
    <row r="29" spans="1:10" ht="25.5">
      <c r="A29" s="1175" t="s">
        <v>994</v>
      </c>
      <c r="B29" s="1179" t="s">
        <v>995</v>
      </c>
      <c r="C29" s="1180">
        <v>11580000</v>
      </c>
      <c r="D29" s="1180">
        <v>11580000</v>
      </c>
      <c r="E29" s="1181">
        <v>0</v>
      </c>
      <c r="F29" s="1181">
        <v>0</v>
      </c>
      <c r="G29" s="1181">
        <v>0</v>
      </c>
      <c r="H29" s="1181">
        <v>0</v>
      </c>
      <c r="I29" s="1181">
        <f t="shared" si="0"/>
        <v>11580000</v>
      </c>
      <c r="J29" s="1181">
        <f t="shared" si="0"/>
        <v>11580000</v>
      </c>
    </row>
    <row r="30" spans="1:10" ht="25.5">
      <c r="A30" s="1170" t="s">
        <v>996</v>
      </c>
      <c r="B30" s="1176" t="s">
        <v>997</v>
      </c>
      <c r="C30" s="1177">
        <v>349130541</v>
      </c>
      <c r="D30" s="1177">
        <v>363207158</v>
      </c>
      <c r="E30" s="1178">
        <v>0</v>
      </c>
      <c r="F30" s="1178">
        <v>0</v>
      </c>
      <c r="G30" s="1178">
        <v>0</v>
      </c>
      <c r="H30" s="1178">
        <v>0</v>
      </c>
      <c r="I30" s="1178">
        <f t="shared" si="0"/>
        <v>349130541</v>
      </c>
      <c r="J30" s="1178">
        <f t="shared" si="0"/>
        <v>363207158</v>
      </c>
    </row>
    <row r="31" spans="1:10" ht="12.75" hidden="1">
      <c r="A31" s="1170" t="s">
        <v>998</v>
      </c>
      <c r="B31" s="1176" t="s">
        <v>999</v>
      </c>
      <c r="C31" s="1177">
        <v>0</v>
      </c>
      <c r="D31" s="1177">
        <v>0</v>
      </c>
      <c r="E31" s="1178">
        <v>0</v>
      </c>
      <c r="F31" s="1178">
        <v>0</v>
      </c>
      <c r="G31" s="1178">
        <v>0</v>
      </c>
      <c r="H31" s="1178">
        <v>0</v>
      </c>
      <c r="I31" s="1178">
        <f t="shared" si="0"/>
        <v>0</v>
      </c>
      <c r="J31" s="1178">
        <f t="shared" si="0"/>
        <v>0</v>
      </c>
    </row>
    <row r="32" spans="1:10" ht="12.75">
      <c r="A32" s="1170" t="s">
        <v>1000</v>
      </c>
      <c r="B32" s="1176" t="s">
        <v>1001</v>
      </c>
      <c r="C32" s="1177">
        <v>349130541</v>
      </c>
      <c r="D32" s="1177">
        <v>363207158</v>
      </c>
      <c r="E32" s="1178">
        <v>0</v>
      </c>
      <c r="F32" s="1178">
        <v>0</v>
      </c>
      <c r="G32" s="1178">
        <v>0</v>
      </c>
      <c r="H32" s="1178">
        <v>0</v>
      </c>
      <c r="I32" s="1178">
        <f t="shared" si="0"/>
        <v>349130541</v>
      </c>
      <c r="J32" s="1178">
        <f t="shared" si="0"/>
        <v>363207158</v>
      </c>
    </row>
    <row r="33" spans="1:10" ht="25.5" customHeight="1" hidden="1">
      <c r="A33" s="1170" t="s">
        <v>1002</v>
      </c>
      <c r="B33" s="1176" t="s">
        <v>1003</v>
      </c>
      <c r="C33" s="1177">
        <v>0</v>
      </c>
      <c r="D33" s="1177">
        <v>0</v>
      </c>
      <c r="E33" s="1178">
        <v>0</v>
      </c>
      <c r="F33" s="1178">
        <v>0</v>
      </c>
      <c r="G33" s="1178">
        <v>0</v>
      </c>
      <c r="H33" s="1178">
        <v>0</v>
      </c>
      <c r="I33" s="1178">
        <f t="shared" si="0"/>
        <v>0</v>
      </c>
      <c r="J33" s="1178">
        <f t="shared" si="0"/>
        <v>0</v>
      </c>
    </row>
    <row r="34" spans="1:10" ht="25.5" customHeight="1" hidden="1">
      <c r="A34" s="1170" t="s">
        <v>1004</v>
      </c>
      <c r="B34" s="1176" t="s">
        <v>1005</v>
      </c>
      <c r="C34" s="1177">
        <v>0</v>
      </c>
      <c r="D34" s="1177">
        <v>0</v>
      </c>
      <c r="E34" s="1178">
        <v>0</v>
      </c>
      <c r="F34" s="1178">
        <v>0</v>
      </c>
      <c r="G34" s="1178">
        <v>0</v>
      </c>
      <c r="H34" s="1178">
        <v>0</v>
      </c>
      <c r="I34" s="1178">
        <f t="shared" si="0"/>
        <v>0</v>
      </c>
      <c r="J34" s="1178">
        <f t="shared" si="0"/>
        <v>0</v>
      </c>
    </row>
    <row r="35" spans="1:10" ht="25.5">
      <c r="A35" s="1175" t="s">
        <v>1006</v>
      </c>
      <c r="B35" s="1179" t="s">
        <v>1007</v>
      </c>
      <c r="C35" s="1180">
        <v>349130541</v>
      </c>
      <c r="D35" s="1180">
        <v>363207158</v>
      </c>
      <c r="E35" s="1181">
        <v>0</v>
      </c>
      <c r="F35" s="1181">
        <v>0</v>
      </c>
      <c r="G35" s="1181">
        <v>0</v>
      </c>
      <c r="H35" s="1181">
        <v>0</v>
      </c>
      <c r="I35" s="1181">
        <f t="shared" si="0"/>
        <v>349130541</v>
      </c>
      <c r="J35" s="1181">
        <f t="shared" si="0"/>
        <v>363207158</v>
      </c>
    </row>
    <row r="36" spans="1:10" ht="38.25">
      <c r="A36" s="1175" t="s">
        <v>1008</v>
      </c>
      <c r="B36" s="1179" t="s">
        <v>1009</v>
      </c>
      <c r="C36" s="1180">
        <v>1238804306</v>
      </c>
      <c r="D36" s="1180">
        <v>1481204897</v>
      </c>
      <c r="E36" s="1181">
        <v>222683</v>
      </c>
      <c r="F36" s="1181">
        <v>84412</v>
      </c>
      <c r="G36" s="1181">
        <v>1213325</v>
      </c>
      <c r="H36" s="1181">
        <v>2121662</v>
      </c>
      <c r="I36" s="1181">
        <f t="shared" si="0"/>
        <v>1240240314</v>
      </c>
      <c r="J36" s="1181">
        <f t="shared" si="0"/>
        <v>1483410971</v>
      </c>
    </row>
    <row r="37" spans="1:10" ht="12.75">
      <c r="A37" s="1170" t="s">
        <v>1010</v>
      </c>
      <c r="B37" s="1176" t="s">
        <v>1011</v>
      </c>
      <c r="C37" s="1177">
        <v>0</v>
      </c>
      <c r="D37" s="1177">
        <v>2640000</v>
      </c>
      <c r="E37" s="1178">
        <v>0</v>
      </c>
      <c r="F37" s="1178">
        <v>0</v>
      </c>
      <c r="G37" s="1178">
        <v>489987</v>
      </c>
      <c r="H37" s="1178">
        <v>382144</v>
      </c>
      <c r="I37" s="1178">
        <f t="shared" si="0"/>
        <v>489987</v>
      </c>
      <c r="J37" s="1178">
        <f t="shared" si="0"/>
        <v>3022144</v>
      </c>
    </row>
    <row r="38" spans="1:10" ht="25.5" customHeight="1" hidden="1">
      <c r="A38" s="1170" t="s">
        <v>1012</v>
      </c>
      <c r="B38" s="1176" t="s">
        <v>1013</v>
      </c>
      <c r="C38" s="1177">
        <v>0</v>
      </c>
      <c r="D38" s="1177">
        <v>0</v>
      </c>
      <c r="E38" s="1178">
        <v>0</v>
      </c>
      <c r="F38" s="1178">
        <v>0</v>
      </c>
      <c r="G38" s="1178">
        <v>0</v>
      </c>
      <c r="H38" s="1178">
        <v>0</v>
      </c>
      <c r="I38" s="1178">
        <f t="shared" si="0"/>
        <v>0</v>
      </c>
      <c r="J38" s="1178">
        <f t="shared" si="0"/>
        <v>0</v>
      </c>
    </row>
    <row r="39" spans="1:10" ht="12.75" customHeight="1" hidden="1">
      <c r="A39" s="1170" t="s">
        <v>1014</v>
      </c>
      <c r="B39" s="1176" t="s">
        <v>1015</v>
      </c>
      <c r="C39" s="1177">
        <v>0</v>
      </c>
      <c r="D39" s="1177">
        <v>0</v>
      </c>
      <c r="E39" s="1178">
        <v>0</v>
      </c>
      <c r="F39" s="1178">
        <v>0</v>
      </c>
      <c r="G39" s="1178">
        <v>0</v>
      </c>
      <c r="H39" s="1178">
        <v>0</v>
      </c>
      <c r="I39" s="1178">
        <f t="shared" si="0"/>
        <v>0</v>
      </c>
      <c r="J39" s="1178">
        <f t="shared" si="0"/>
        <v>0</v>
      </c>
    </row>
    <row r="40" spans="1:10" ht="25.5" customHeight="1" hidden="1">
      <c r="A40" s="1170" t="s">
        <v>1016</v>
      </c>
      <c r="B40" s="1176" t="s">
        <v>1017</v>
      </c>
      <c r="C40" s="1177">
        <v>0</v>
      </c>
      <c r="D40" s="1177">
        <v>0</v>
      </c>
      <c r="E40" s="1178">
        <v>0</v>
      </c>
      <c r="F40" s="1178">
        <v>0</v>
      </c>
      <c r="G40" s="1178">
        <v>0</v>
      </c>
      <c r="H40" s="1178">
        <v>0</v>
      </c>
      <c r="I40" s="1178">
        <f t="shared" si="0"/>
        <v>0</v>
      </c>
      <c r="J40" s="1178">
        <f t="shared" si="0"/>
        <v>0</v>
      </c>
    </row>
    <row r="41" spans="1:10" ht="12.75" customHeight="1" hidden="1">
      <c r="A41" s="1170" t="s">
        <v>1018</v>
      </c>
      <c r="B41" s="1176" t="s">
        <v>1019</v>
      </c>
      <c r="C41" s="1177">
        <v>0</v>
      </c>
      <c r="D41" s="1177">
        <v>0</v>
      </c>
      <c r="E41" s="1178">
        <v>0</v>
      </c>
      <c r="F41" s="1178">
        <v>0</v>
      </c>
      <c r="G41" s="1178">
        <v>0</v>
      </c>
      <c r="H41" s="1178">
        <v>0</v>
      </c>
      <c r="I41" s="1178">
        <f t="shared" si="0"/>
        <v>0</v>
      </c>
      <c r="J41" s="1178">
        <f t="shared" si="0"/>
        <v>0</v>
      </c>
    </row>
    <row r="42" spans="1:10" ht="12.75">
      <c r="A42" s="1175" t="s">
        <v>1020</v>
      </c>
      <c r="B42" s="1179" t="s">
        <v>1021</v>
      </c>
      <c r="C42" s="1180">
        <v>0</v>
      </c>
      <c r="D42" s="1180">
        <v>2640000</v>
      </c>
      <c r="E42" s="1181">
        <v>0</v>
      </c>
      <c r="F42" s="1181">
        <v>0</v>
      </c>
      <c r="G42" s="1181">
        <v>489987</v>
      </c>
      <c r="H42" s="1181">
        <v>382144</v>
      </c>
      <c r="I42" s="1181">
        <f t="shared" si="0"/>
        <v>489987</v>
      </c>
      <c r="J42" s="1181">
        <f t="shared" si="0"/>
        <v>3022144</v>
      </c>
    </row>
    <row r="43" spans="1:10" ht="12.75" customHeight="1" hidden="1">
      <c r="A43" s="1170" t="s">
        <v>1022</v>
      </c>
      <c r="B43" s="1176" t="s">
        <v>1023</v>
      </c>
      <c r="C43" s="1177">
        <v>0</v>
      </c>
      <c r="D43" s="1177">
        <v>0</v>
      </c>
      <c r="E43" s="1178">
        <v>0</v>
      </c>
      <c r="F43" s="1178">
        <v>0</v>
      </c>
      <c r="G43" s="1178">
        <v>0</v>
      </c>
      <c r="H43" s="1178">
        <v>0</v>
      </c>
      <c r="I43" s="1178">
        <f t="shared" si="0"/>
        <v>0</v>
      </c>
      <c r="J43" s="1178">
        <f t="shared" si="0"/>
        <v>0</v>
      </c>
    </row>
    <row r="44" spans="1:10" ht="25.5">
      <c r="A44" s="1170" t="s">
        <v>1024</v>
      </c>
      <c r="B44" s="1176" t="s">
        <v>1025</v>
      </c>
      <c r="C44" s="1177">
        <v>29500000</v>
      </c>
      <c r="D44" s="1177">
        <v>0</v>
      </c>
      <c r="E44" s="1178">
        <v>0</v>
      </c>
      <c r="F44" s="1178">
        <v>0</v>
      </c>
      <c r="G44" s="1178">
        <v>0</v>
      </c>
      <c r="H44" s="1178">
        <v>0</v>
      </c>
      <c r="I44" s="1178">
        <f t="shared" si="0"/>
        <v>29500000</v>
      </c>
      <c r="J44" s="1178">
        <f t="shared" si="0"/>
        <v>0</v>
      </c>
    </row>
    <row r="45" spans="1:10" ht="12.75" customHeight="1" hidden="1">
      <c r="A45" s="1170" t="s">
        <v>1026</v>
      </c>
      <c r="B45" s="1176" t="s">
        <v>1027</v>
      </c>
      <c r="C45" s="1177">
        <v>0</v>
      </c>
      <c r="D45" s="1177">
        <v>0</v>
      </c>
      <c r="E45" s="1178">
        <v>0</v>
      </c>
      <c r="F45" s="1178">
        <v>0</v>
      </c>
      <c r="G45" s="1178">
        <v>0</v>
      </c>
      <c r="H45" s="1178">
        <v>0</v>
      </c>
      <c r="I45" s="1178">
        <f t="shared" si="0"/>
        <v>0</v>
      </c>
      <c r="J45" s="1178">
        <f t="shared" si="0"/>
        <v>0</v>
      </c>
    </row>
    <row r="46" spans="1:10" ht="12.75">
      <c r="A46" s="1170" t="s">
        <v>1028</v>
      </c>
      <c r="B46" s="1176" t="s">
        <v>1029</v>
      </c>
      <c r="C46" s="1177">
        <v>29500000</v>
      </c>
      <c r="D46" s="1177">
        <v>0</v>
      </c>
      <c r="E46" s="1178">
        <v>0</v>
      </c>
      <c r="F46" s="1178">
        <v>0</v>
      </c>
      <c r="G46" s="1178">
        <v>0</v>
      </c>
      <c r="H46" s="1178">
        <v>0</v>
      </c>
      <c r="I46" s="1178">
        <f t="shared" si="0"/>
        <v>29500000</v>
      </c>
      <c r="J46" s="1178">
        <f t="shared" si="0"/>
        <v>0</v>
      </c>
    </row>
    <row r="47" spans="1:10" ht="12.75" customHeight="1" hidden="1">
      <c r="A47" s="1170" t="s">
        <v>1030</v>
      </c>
      <c r="B47" s="1176" t="s">
        <v>1031</v>
      </c>
      <c r="C47" s="1177">
        <v>0</v>
      </c>
      <c r="D47" s="1177">
        <v>0</v>
      </c>
      <c r="E47" s="1178">
        <v>0</v>
      </c>
      <c r="F47" s="1178">
        <v>0</v>
      </c>
      <c r="G47" s="1178">
        <v>0</v>
      </c>
      <c r="H47" s="1178">
        <v>0</v>
      </c>
      <c r="I47" s="1178">
        <f t="shared" si="0"/>
        <v>0</v>
      </c>
      <c r="J47" s="1178">
        <f t="shared" si="0"/>
        <v>0</v>
      </c>
    </row>
    <row r="48" spans="1:10" ht="12.75" customHeight="1" hidden="1">
      <c r="A48" s="1170" t="s">
        <v>1032</v>
      </c>
      <c r="B48" s="1176" t="s">
        <v>1033</v>
      </c>
      <c r="C48" s="1177">
        <v>0</v>
      </c>
      <c r="D48" s="1177">
        <v>0</v>
      </c>
      <c r="E48" s="1178">
        <v>0</v>
      </c>
      <c r="F48" s="1178">
        <v>0</v>
      </c>
      <c r="G48" s="1178">
        <v>0</v>
      </c>
      <c r="H48" s="1178">
        <v>0</v>
      </c>
      <c r="I48" s="1178">
        <f t="shared" si="0"/>
        <v>0</v>
      </c>
      <c r="J48" s="1178">
        <f t="shared" si="0"/>
        <v>0</v>
      </c>
    </row>
    <row r="49" spans="1:10" ht="12.75" customHeight="1" hidden="1">
      <c r="A49" s="1170" t="s">
        <v>1034</v>
      </c>
      <c r="B49" s="1176" t="s">
        <v>1035</v>
      </c>
      <c r="C49" s="1177">
        <v>0</v>
      </c>
      <c r="D49" s="1177">
        <v>0</v>
      </c>
      <c r="E49" s="1178">
        <v>0</v>
      </c>
      <c r="F49" s="1178">
        <v>0</v>
      </c>
      <c r="G49" s="1178">
        <v>0</v>
      </c>
      <c r="H49" s="1178">
        <v>0</v>
      </c>
      <c r="I49" s="1178">
        <f t="shared" si="0"/>
        <v>0</v>
      </c>
      <c r="J49" s="1178">
        <f t="shared" si="0"/>
        <v>0</v>
      </c>
    </row>
    <row r="50" spans="1:10" ht="12.75">
      <c r="A50" s="1175" t="s">
        <v>1036</v>
      </c>
      <c r="B50" s="1179" t="s">
        <v>1037</v>
      </c>
      <c r="C50" s="1180">
        <v>29500000</v>
      </c>
      <c r="D50" s="1180">
        <v>0</v>
      </c>
      <c r="E50" s="1181">
        <v>0</v>
      </c>
      <c r="F50" s="1181">
        <v>0</v>
      </c>
      <c r="G50" s="1181">
        <v>0</v>
      </c>
      <c r="H50" s="1181">
        <v>0</v>
      </c>
      <c r="I50" s="1181">
        <f t="shared" si="0"/>
        <v>29500000</v>
      </c>
      <c r="J50" s="1181">
        <f t="shared" si="0"/>
        <v>0</v>
      </c>
    </row>
    <row r="51" spans="1:10" ht="25.5">
      <c r="A51" s="1175" t="s">
        <v>1038</v>
      </c>
      <c r="B51" s="1179" t="s">
        <v>1039</v>
      </c>
      <c r="C51" s="1180">
        <v>29500000</v>
      </c>
      <c r="D51" s="1180">
        <v>2640000</v>
      </c>
      <c r="E51" s="1181">
        <v>0</v>
      </c>
      <c r="F51" s="1181">
        <v>0</v>
      </c>
      <c r="G51" s="1181">
        <v>489987</v>
      </c>
      <c r="H51" s="1181">
        <v>382144</v>
      </c>
      <c r="I51" s="1181">
        <f t="shared" si="0"/>
        <v>29989987</v>
      </c>
      <c r="J51" s="1181">
        <f t="shared" si="0"/>
        <v>3022144</v>
      </c>
    </row>
    <row r="52" spans="1:10" ht="25.5" customHeight="1" hidden="1">
      <c r="A52" s="1170" t="s">
        <v>1040</v>
      </c>
      <c r="B52" s="1176" t="s">
        <v>1041</v>
      </c>
      <c r="C52" s="1177">
        <v>0</v>
      </c>
      <c r="D52" s="1177">
        <v>0</v>
      </c>
      <c r="E52" s="1178">
        <v>0</v>
      </c>
      <c r="F52" s="1178">
        <v>0</v>
      </c>
      <c r="G52" s="1178">
        <v>0</v>
      </c>
      <c r="H52" s="1178">
        <v>0</v>
      </c>
      <c r="I52" s="1178">
        <f t="shared" si="0"/>
        <v>0</v>
      </c>
      <c r="J52" s="1178">
        <f t="shared" si="0"/>
        <v>0</v>
      </c>
    </row>
    <row r="53" spans="1:10" ht="25.5" customHeight="1" hidden="1">
      <c r="A53" s="1170" t="s">
        <v>1042</v>
      </c>
      <c r="B53" s="1176" t="s">
        <v>1043</v>
      </c>
      <c r="C53" s="1177">
        <v>0</v>
      </c>
      <c r="D53" s="1177">
        <v>0</v>
      </c>
      <c r="E53" s="1178">
        <v>0</v>
      </c>
      <c r="F53" s="1178">
        <v>0</v>
      </c>
      <c r="G53" s="1178">
        <v>0</v>
      </c>
      <c r="H53" s="1178">
        <v>0</v>
      </c>
      <c r="I53" s="1178">
        <f t="shared" si="0"/>
        <v>0</v>
      </c>
      <c r="J53" s="1178">
        <f t="shared" si="0"/>
        <v>0</v>
      </c>
    </row>
    <row r="54" spans="1:10" ht="12.75" customHeight="1" hidden="1">
      <c r="A54" s="1175" t="s">
        <v>1044</v>
      </c>
      <c r="B54" s="1179" t="s">
        <v>1045</v>
      </c>
      <c r="C54" s="1180">
        <v>0</v>
      </c>
      <c r="D54" s="1180">
        <v>0</v>
      </c>
      <c r="E54" s="1181">
        <v>0</v>
      </c>
      <c r="F54" s="1181">
        <v>0</v>
      </c>
      <c r="G54" s="1181">
        <v>0</v>
      </c>
      <c r="H54" s="1181">
        <v>0</v>
      </c>
      <c r="I54" s="1181">
        <f t="shared" si="0"/>
        <v>0</v>
      </c>
      <c r="J54" s="1181">
        <f t="shared" si="0"/>
        <v>0</v>
      </c>
    </row>
    <row r="55" spans="1:10" ht="12.75" customHeight="1" hidden="1">
      <c r="A55" s="1170" t="s">
        <v>1046</v>
      </c>
      <c r="B55" s="1176" t="s">
        <v>1047</v>
      </c>
      <c r="C55" s="1177">
        <v>0</v>
      </c>
      <c r="D55" s="1177">
        <v>0</v>
      </c>
      <c r="E55" s="1178">
        <v>0</v>
      </c>
      <c r="F55" s="1178">
        <v>0</v>
      </c>
      <c r="G55" s="1178">
        <v>0</v>
      </c>
      <c r="H55" s="1178">
        <v>0</v>
      </c>
      <c r="I55" s="1178">
        <f t="shared" si="0"/>
        <v>0</v>
      </c>
      <c r="J55" s="1178">
        <f t="shared" si="0"/>
        <v>0</v>
      </c>
    </row>
    <row r="56" spans="1:10" ht="12.75" customHeight="1" hidden="1">
      <c r="A56" s="1170" t="s">
        <v>1048</v>
      </c>
      <c r="B56" s="1176" t="s">
        <v>1049</v>
      </c>
      <c r="C56" s="1177">
        <v>0</v>
      </c>
      <c r="D56" s="1177">
        <v>0</v>
      </c>
      <c r="E56" s="1178">
        <v>0</v>
      </c>
      <c r="F56" s="1178">
        <v>0</v>
      </c>
      <c r="G56" s="1178">
        <v>0</v>
      </c>
      <c r="H56" s="1178">
        <v>0</v>
      </c>
      <c r="I56" s="1178">
        <f t="shared" si="0"/>
        <v>0</v>
      </c>
      <c r="J56" s="1178">
        <f t="shared" si="0"/>
        <v>0</v>
      </c>
    </row>
    <row r="57" spans="1:10" ht="25.5" customHeight="1" hidden="1">
      <c r="A57" s="1170" t="s">
        <v>1050</v>
      </c>
      <c r="B57" s="1176" t="s">
        <v>1051</v>
      </c>
      <c r="C57" s="1177">
        <v>0</v>
      </c>
      <c r="D57" s="1177">
        <v>0</v>
      </c>
      <c r="E57" s="1178">
        <v>0</v>
      </c>
      <c r="F57" s="1178">
        <v>0</v>
      </c>
      <c r="G57" s="1178">
        <v>0</v>
      </c>
      <c r="H57" s="1178">
        <v>0</v>
      </c>
      <c r="I57" s="1178">
        <f t="shared" si="0"/>
        <v>0</v>
      </c>
      <c r="J57" s="1178">
        <f t="shared" si="0"/>
        <v>0</v>
      </c>
    </row>
    <row r="58" spans="1:10" ht="25.5" customHeight="1" hidden="1">
      <c r="A58" s="1175" t="s">
        <v>1052</v>
      </c>
      <c r="B58" s="1179" t="s">
        <v>1053</v>
      </c>
      <c r="C58" s="1180">
        <v>0</v>
      </c>
      <c r="D58" s="1180">
        <v>0</v>
      </c>
      <c r="E58" s="1181">
        <v>0</v>
      </c>
      <c r="F58" s="1181">
        <v>0</v>
      </c>
      <c r="G58" s="1181">
        <v>0</v>
      </c>
      <c r="H58" s="1181">
        <v>0</v>
      </c>
      <c r="I58" s="1181">
        <f t="shared" si="0"/>
        <v>0</v>
      </c>
      <c r="J58" s="1181">
        <f t="shared" si="0"/>
        <v>0</v>
      </c>
    </row>
    <row r="59" spans="1:10" ht="12.75">
      <c r="A59" s="1170" t="s">
        <v>1054</v>
      </c>
      <c r="B59" s="1176" t="s">
        <v>1055</v>
      </c>
      <c r="C59" s="1177">
        <v>313690647</v>
      </c>
      <c r="D59" s="1177">
        <v>159720987</v>
      </c>
      <c r="E59" s="1178">
        <v>987190</v>
      </c>
      <c r="F59" s="1178">
        <v>900462</v>
      </c>
      <c r="G59" s="1178">
        <v>1473161</v>
      </c>
      <c r="H59" s="1178">
        <v>2014559</v>
      </c>
      <c r="I59" s="1178">
        <f t="shared" si="0"/>
        <v>316150998</v>
      </c>
      <c r="J59" s="1178">
        <f t="shared" si="0"/>
        <v>162636008</v>
      </c>
    </row>
    <row r="60" spans="1:10" ht="12.75">
      <c r="A60" s="1170" t="s">
        <v>1056</v>
      </c>
      <c r="B60" s="1176" t="s">
        <v>1057</v>
      </c>
      <c r="C60" s="1177">
        <v>0</v>
      </c>
      <c r="D60" s="1177">
        <v>29784910</v>
      </c>
      <c r="E60" s="1178">
        <v>0</v>
      </c>
      <c r="F60" s="1178">
        <v>0</v>
      </c>
      <c r="G60" s="1178">
        <v>0</v>
      </c>
      <c r="H60" s="1178">
        <v>0</v>
      </c>
      <c r="I60" s="1178">
        <f t="shared" si="0"/>
        <v>0</v>
      </c>
      <c r="J60" s="1178">
        <f t="shared" si="0"/>
        <v>29784910</v>
      </c>
    </row>
    <row r="61" spans="1:10" ht="12.75">
      <c r="A61" s="1175" t="s">
        <v>1058</v>
      </c>
      <c r="B61" s="1179" t="s">
        <v>1059</v>
      </c>
      <c r="C61" s="1180">
        <v>313690647</v>
      </c>
      <c r="D61" s="1180">
        <v>189505897</v>
      </c>
      <c r="E61" s="1181">
        <v>987190</v>
      </c>
      <c r="F61" s="1181">
        <v>900462</v>
      </c>
      <c r="G61" s="1181">
        <v>1473161</v>
      </c>
      <c r="H61" s="1181">
        <v>2014559</v>
      </c>
      <c r="I61" s="1181">
        <f t="shared" si="0"/>
        <v>316150998</v>
      </c>
      <c r="J61" s="1181">
        <f t="shared" si="0"/>
        <v>192420918</v>
      </c>
    </row>
    <row r="62" spans="1:10" ht="12.75" customHeight="1" hidden="1">
      <c r="A62" s="1170" t="s">
        <v>1060</v>
      </c>
      <c r="B62" s="1176" t="s">
        <v>1061</v>
      </c>
      <c r="C62" s="1177">
        <v>0</v>
      </c>
      <c r="D62" s="1177">
        <v>0</v>
      </c>
      <c r="E62" s="1178">
        <v>0</v>
      </c>
      <c r="F62" s="1178">
        <v>0</v>
      </c>
      <c r="G62" s="1178">
        <v>0</v>
      </c>
      <c r="H62" s="1178">
        <v>0</v>
      </c>
      <c r="I62" s="1178">
        <f t="shared" si="0"/>
        <v>0</v>
      </c>
      <c r="J62" s="1178">
        <f t="shared" si="0"/>
        <v>0</v>
      </c>
    </row>
    <row r="63" spans="1:10" ht="12.75" customHeight="1" hidden="1">
      <c r="A63" s="1170" t="s">
        <v>1062</v>
      </c>
      <c r="B63" s="1176" t="s">
        <v>1063</v>
      </c>
      <c r="C63" s="1177">
        <v>0</v>
      </c>
      <c r="D63" s="1177">
        <v>0</v>
      </c>
      <c r="E63" s="1178">
        <v>0</v>
      </c>
      <c r="F63" s="1178">
        <v>0</v>
      </c>
      <c r="G63" s="1178">
        <v>0</v>
      </c>
      <c r="H63" s="1178">
        <v>0</v>
      </c>
      <c r="I63" s="1178">
        <f t="shared" si="0"/>
        <v>0</v>
      </c>
      <c r="J63" s="1178">
        <f t="shared" si="0"/>
        <v>0</v>
      </c>
    </row>
    <row r="64" spans="1:10" ht="12.75" customHeight="1" hidden="1">
      <c r="A64" s="1175" t="s">
        <v>1064</v>
      </c>
      <c r="B64" s="1179" t="s">
        <v>1065</v>
      </c>
      <c r="C64" s="1180">
        <v>0</v>
      </c>
      <c r="D64" s="1180">
        <v>0</v>
      </c>
      <c r="E64" s="1181">
        <v>0</v>
      </c>
      <c r="F64" s="1181">
        <v>0</v>
      </c>
      <c r="G64" s="1181">
        <v>0</v>
      </c>
      <c r="H64" s="1181">
        <v>0</v>
      </c>
      <c r="I64" s="1181">
        <f t="shared" si="0"/>
        <v>0</v>
      </c>
      <c r="J64" s="1181">
        <f t="shared" si="0"/>
        <v>0</v>
      </c>
    </row>
    <row r="65" spans="1:10" ht="12.75">
      <c r="A65" s="1175" t="s">
        <v>1066</v>
      </c>
      <c r="B65" s="1179" t="s">
        <v>1067</v>
      </c>
      <c r="C65" s="1180">
        <v>313690647</v>
      </c>
      <c r="D65" s="1180">
        <v>189505897</v>
      </c>
      <c r="E65" s="1181">
        <v>987190</v>
      </c>
      <c r="F65" s="1181">
        <v>900462</v>
      </c>
      <c r="G65" s="1181">
        <v>1473161</v>
      </c>
      <c r="H65" s="1181">
        <v>2014559</v>
      </c>
      <c r="I65" s="1181">
        <f t="shared" si="0"/>
        <v>316150998</v>
      </c>
      <c r="J65" s="1181">
        <f t="shared" si="0"/>
        <v>192420918</v>
      </c>
    </row>
    <row r="66" spans="1:10" ht="38.25" customHeight="1" hidden="1">
      <c r="A66" s="1170" t="s">
        <v>1068</v>
      </c>
      <c r="B66" s="1176" t="s">
        <v>1069</v>
      </c>
      <c r="C66" s="1177">
        <v>0</v>
      </c>
      <c r="D66" s="1177">
        <v>0</v>
      </c>
      <c r="E66" s="1178">
        <v>0</v>
      </c>
      <c r="F66" s="1178">
        <v>0</v>
      </c>
      <c r="G66" s="1178">
        <v>0</v>
      </c>
      <c r="H66" s="1178">
        <v>0</v>
      </c>
      <c r="I66" s="1178">
        <f t="shared" si="0"/>
        <v>0</v>
      </c>
      <c r="J66" s="1178">
        <f t="shared" si="0"/>
        <v>0</v>
      </c>
    </row>
    <row r="67" spans="1:10" ht="51" customHeight="1" hidden="1">
      <c r="A67" s="1170" t="s">
        <v>1070</v>
      </c>
      <c r="B67" s="1176" t="s">
        <v>1071</v>
      </c>
      <c r="C67" s="1177">
        <v>0</v>
      </c>
      <c r="D67" s="1177">
        <v>0</v>
      </c>
      <c r="E67" s="1178">
        <v>0</v>
      </c>
      <c r="F67" s="1178">
        <v>0</v>
      </c>
      <c r="G67" s="1178">
        <v>0</v>
      </c>
      <c r="H67" s="1178">
        <v>0</v>
      </c>
      <c r="I67" s="1178">
        <f t="shared" si="0"/>
        <v>0</v>
      </c>
      <c r="J67" s="1178">
        <f t="shared" si="0"/>
        <v>0</v>
      </c>
    </row>
    <row r="68" spans="1:10" ht="38.25" customHeight="1" hidden="1">
      <c r="A68" s="1170" t="s">
        <v>1072</v>
      </c>
      <c r="B68" s="1176" t="s">
        <v>1073</v>
      </c>
      <c r="C68" s="1177">
        <v>0</v>
      </c>
      <c r="D68" s="1177">
        <v>0</v>
      </c>
      <c r="E68" s="1178">
        <v>0</v>
      </c>
      <c r="F68" s="1178">
        <v>0</v>
      </c>
      <c r="G68" s="1178">
        <v>0</v>
      </c>
      <c r="H68" s="1178">
        <v>0</v>
      </c>
      <c r="I68" s="1178">
        <f t="shared" si="0"/>
        <v>0</v>
      </c>
      <c r="J68" s="1178">
        <f t="shared" si="0"/>
        <v>0</v>
      </c>
    </row>
    <row r="69" spans="1:10" ht="51" customHeight="1" hidden="1">
      <c r="A69" s="1170" t="s">
        <v>1074</v>
      </c>
      <c r="B69" s="1176" t="s">
        <v>1075</v>
      </c>
      <c r="C69" s="1177">
        <v>0</v>
      </c>
      <c r="D69" s="1177">
        <v>0</v>
      </c>
      <c r="E69" s="1178">
        <v>0</v>
      </c>
      <c r="F69" s="1178">
        <v>0</v>
      </c>
      <c r="G69" s="1178">
        <v>0</v>
      </c>
      <c r="H69" s="1178">
        <v>0</v>
      </c>
      <c r="I69" s="1178">
        <f t="shared" si="0"/>
        <v>0</v>
      </c>
      <c r="J69" s="1178">
        <f t="shared" si="0"/>
        <v>0</v>
      </c>
    </row>
    <row r="70" spans="1:10" ht="38.25">
      <c r="A70" s="1170" t="s">
        <v>1076</v>
      </c>
      <c r="B70" s="1176" t="s">
        <v>1077</v>
      </c>
      <c r="C70" s="1177">
        <v>5324873</v>
      </c>
      <c r="D70" s="1177">
        <v>2228079</v>
      </c>
      <c r="E70" s="1178">
        <v>0</v>
      </c>
      <c r="F70" s="1178">
        <v>0</v>
      </c>
      <c r="G70" s="1178">
        <v>0</v>
      </c>
      <c r="H70" s="1178">
        <v>0</v>
      </c>
      <c r="I70" s="1178">
        <f t="shared" si="0"/>
        <v>5324873</v>
      </c>
      <c r="J70" s="1178">
        <f t="shared" si="0"/>
        <v>2228079</v>
      </c>
    </row>
    <row r="71" spans="1:10" ht="25.5" customHeight="1" hidden="1">
      <c r="A71" s="1170" t="s">
        <v>1078</v>
      </c>
      <c r="B71" s="1176" t="s">
        <v>1079</v>
      </c>
      <c r="C71" s="1177">
        <v>0</v>
      </c>
      <c r="D71" s="1177">
        <v>0</v>
      </c>
      <c r="E71" s="1178">
        <v>0</v>
      </c>
      <c r="F71" s="1178">
        <v>0</v>
      </c>
      <c r="G71" s="1178">
        <v>0</v>
      </c>
      <c r="H71" s="1178">
        <v>0</v>
      </c>
      <c r="I71" s="1178">
        <f t="shared" si="0"/>
        <v>0</v>
      </c>
      <c r="J71" s="1178">
        <f t="shared" si="0"/>
        <v>0</v>
      </c>
    </row>
    <row r="72" spans="1:10" ht="38.25" customHeight="1" hidden="1">
      <c r="A72" s="1170" t="s">
        <v>1080</v>
      </c>
      <c r="B72" s="1176" t="s">
        <v>1081</v>
      </c>
      <c r="C72" s="1177">
        <v>0</v>
      </c>
      <c r="D72" s="1177">
        <v>0</v>
      </c>
      <c r="E72" s="1178">
        <v>0</v>
      </c>
      <c r="F72" s="1178">
        <v>0</v>
      </c>
      <c r="G72" s="1178">
        <v>0</v>
      </c>
      <c r="H72" s="1178">
        <v>0</v>
      </c>
      <c r="I72" s="1178">
        <f t="shared" si="0"/>
        <v>0</v>
      </c>
      <c r="J72" s="1178">
        <f t="shared" si="0"/>
        <v>0</v>
      </c>
    </row>
    <row r="73" spans="1:10" ht="38.25" customHeight="1" hidden="1">
      <c r="A73" s="1170" t="s">
        <v>1082</v>
      </c>
      <c r="B73" s="1176" t="s">
        <v>1083</v>
      </c>
      <c r="C73" s="1177">
        <v>0</v>
      </c>
      <c r="D73" s="1177">
        <v>0</v>
      </c>
      <c r="E73" s="1178">
        <v>0</v>
      </c>
      <c r="F73" s="1178">
        <v>0</v>
      </c>
      <c r="G73" s="1178">
        <v>0</v>
      </c>
      <c r="H73" s="1178">
        <v>0</v>
      </c>
      <c r="I73" s="1178">
        <f t="shared" si="0"/>
        <v>0</v>
      </c>
      <c r="J73" s="1178">
        <f t="shared" si="0"/>
        <v>0</v>
      </c>
    </row>
    <row r="74" spans="1:10" ht="25.5">
      <c r="A74" s="1170" t="s">
        <v>1084</v>
      </c>
      <c r="B74" s="1176" t="s">
        <v>1085</v>
      </c>
      <c r="C74" s="1177">
        <v>395948</v>
      </c>
      <c r="D74" s="1177">
        <v>92331</v>
      </c>
      <c r="E74" s="1178">
        <v>0</v>
      </c>
      <c r="F74" s="1178">
        <v>0</v>
      </c>
      <c r="G74" s="1178">
        <v>0</v>
      </c>
      <c r="H74" s="1178">
        <v>0</v>
      </c>
      <c r="I74" s="1178">
        <f aca="true" t="shared" si="1" ref="I74:J137">+C74+E74+G74</f>
        <v>395948</v>
      </c>
      <c r="J74" s="1178">
        <f t="shared" si="1"/>
        <v>92331</v>
      </c>
    </row>
    <row r="75" spans="1:10" ht="25.5">
      <c r="A75" s="1170" t="s">
        <v>1086</v>
      </c>
      <c r="B75" s="1176" t="s">
        <v>1087</v>
      </c>
      <c r="C75" s="1177">
        <v>2408049</v>
      </c>
      <c r="D75" s="1177">
        <v>1624746</v>
      </c>
      <c r="E75" s="1178">
        <v>0</v>
      </c>
      <c r="F75" s="1178">
        <v>0</v>
      </c>
      <c r="G75" s="1178">
        <v>0</v>
      </c>
      <c r="H75" s="1178">
        <v>0</v>
      </c>
      <c r="I75" s="1178">
        <f t="shared" si="1"/>
        <v>2408049</v>
      </c>
      <c r="J75" s="1178">
        <f t="shared" si="1"/>
        <v>1624746</v>
      </c>
    </row>
    <row r="76" spans="1:10" ht="25.5">
      <c r="A76" s="1170" t="s">
        <v>1088</v>
      </c>
      <c r="B76" s="1176" t="s">
        <v>1089</v>
      </c>
      <c r="C76" s="1177">
        <v>2520876</v>
      </c>
      <c r="D76" s="1177">
        <v>511002</v>
      </c>
      <c r="E76" s="1178">
        <v>0</v>
      </c>
      <c r="F76" s="1178">
        <v>0</v>
      </c>
      <c r="G76" s="1178">
        <v>0</v>
      </c>
      <c r="H76" s="1178">
        <v>0</v>
      </c>
      <c r="I76" s="1178">
        <f t="shared" si="1"/>
        <v>2520876</v>
      </c>
      <c r="J76" s="1178">
        <f t="shared" si="1"/>
        <v>511002</v>
      </c>
    </row>
    <row r="77" spans="1:10" ht="38.25">
      <c r="A77" s="1170" t="s">
        <v>1090</v>
      </c>
      <c r="B77" s="1176" t="s">
        <v>1091</v>
      </c>
      <c r="C77" s="1177">
        <v>374260</v>
      </c>
      <c r="D77" s="1177">
        <v>0</v>
      </c>
      <c r="E77" s="1178">
        <v>0</v>
      </c>
      <c r="F77" s="1178">
        <v>0</v>
      </c>
      <c r="G77" s="1178">
        <v>58518</v>
      </c>
      <c r="H77" s="1178">
        <v>21600</v>
      </c>
      <c r="I77" s="1178">
        <f t="shared" si="1"/>
        <v>432778</v>
      </c>
      <c r="J77" s="1178">
        <f t="shared" si="1"/>
        <v>21600</v>
      </c>
    </row>
    <row r="78" spans="1:10" ht="51">
      <c r="A78" s="1170" t="s">
        <v>1092</v>
      </c>
      <c r="B78" s="1176" t="s">
        <v>1093</v>
      </c>
      <c r="C78" s="1177">
        <v>186353</v>
      </c>
      <c r="D78" s="1177">
        <v>0</v>
      </c>
      <c r="E78" s="1178">
        <v>0</v>
      </c>
      <c r="F78" s="1178">
        <v>0</v>
      </c>
      <c r="G78" s="1178">
        <v>0</v>
      </c>
      <c r="H78" s="1178">
        <v>2237</v>
      </c>
      <c r="I78" s="1178">
        <f t="shared" si="1"/>
        <v>186353</v>
      </c>
      <c r="J78" s="1178">
        <f t="shared" si="1"/>
        <v>2237</v>
      </c>
    </row>
    <row r="79" spans="1:10" ht="25.5" hidden="1">
      <c r="A79" s="1170" t="s">
        <v>1094</v>
      </c>
      <c r="B79" s="1176" t="s">
        <v>1095</v>
      </c>
      <c r="C79" s="1177">
        <v>0</v>
      </c>
      <c r="D79" s="1177">
        <v>0</v>
      </c>
      <c r="E79" s="1178">
        <v>0</v>
      </c>
      <c r="F79" s="1178">
        <v>0</v>
      </c>
      <c r="G79" s="1178">
        <v>0</v>
      </c>
      <c r="H79" s="1178">
        <v>0</v>
      </c>
      <c r="I79" s="1178">
        <f t="shared" si="1"/>
        <v>0</v>
      </c>
      <c r="J79" s="1178">
        <f t="shared" si="1"/>
        <v>0</v>
      </c>
    </row>
    <row r="80" spans="1:10" ht="25.5">
      <c r="A80" s="1170" t="s">
        <v>1096</v>
      </c>
      <c r="B80" s="1176" t="s">
        <v>1097</v>
      </c>
      <c r="C80" s="1177">
        <v>0</v>
      </c>
      <c r="D80" s="1177">
        <v>0</v>
      </c>
      <c r="E80" s="1178">
        <v>0</v>
      </c>
      <c r="F80" s="1178">
        <v>0</v>
      </c>
      <c r="G80" s="1178">
        <v>58518</v>
      </c>
      <c r="H80" s="1178">
        <v>14771</v>
      </c>
      <c r="I80" s="1178">
        <f t="shared" si="1"/>
        <v>58518</v>
      </c>
      <c r="J80" s="1178">
        <f t="shared" si="1"/>
        <v>14771</v>
      </c>
    </row>
    <row r="81" spans="1:10" ht="38.25">
      <c r="A81" s="1170" t="s">
        <v>1098</v>
      </c>
      <c r="B81" s="1176" t="s">
        <v>1099</v>
      </c>
      <c r="C81" s="1177">
        <v>6100</v>
      </c>
      <c r="D81" s="1177">
        <v>0</v>
      </c>
      <c r="E81" s="1178">
        <v>0</v>
      </c>
      <c r="F81" s="1178">
        <v>0</v>
      </c>
      <c r="G81" s="1178">
        <v>0</v>
      </c>
      <c r="H81" s="1178">
        <v>4592</v>
      </c>
      <c r="I81" s="1178">
        <f t="shared" si="1"/>
        <v>6100</v>
      </c>
      <c r="J81" s="1178">
        <f t="shared" si="1"/>
        <v>4592</v>
      </c>
    </row>
    <row r="82" spans="1:10" ht="38.25" customHeight="1" hidden="1">
      <c r="A82" s="1170" t="s">
        <v>1100</v>
      </c>
      <c r="B82" s="1176" t="s">
        <v>1101</v>
      </c>
      <c r="C82" s="1177">
        <v>0</v>
      </c>
      <c r="D82" s="1177">
        <v>0</v>
      </c>
      <c r="E82" s="1178">
        <v>0</v>
      </c>
      <c r="F82" s="1178">
        <v>0</v>
      </c>
      <c r="G82" s="1178">
        <v>0</v>
      </c>
      <c r="H82" s="1178">
        <v>0</v>
      </c>
      <c r="I82" s="1178">
        <f t="shared" si="1"/>
        <v>0</v>
      </c>
      <c r="J82" s="1178">
        <f t="shared" si="1"/>
        <v>0</v>
      </c>
    </row>
    <row r="83" spans="1:10" ht="38.25" customHeight="1" hidden="1">
      <c r="A83" s="1170" t="s">
        <v>1102</v>
      </c>
      <c r="B83" s="1176" t="s">
        <v>1103</v>
      </c>
      <c r="C83" s="1177">
        <v>0</v>
      </c>
      <c r="D83" s="1177">
        <v>0</v>
      </c>
      <c r="E83" s="1178">
        <v>0</v>
      </c>
      <c r="F83" s="1178">
        <v>0</v>
      </c>
      <c r="G83" s="1178">
        <v>0</v>
      </c>
      <c r="H83" s="1178">
        <v>0</v>
      </c>
      <c r="I83" s="1178">
        <f t="shared" si="1"/>
        <v>0</v>
      </c>
      <c r="J83" s="1178">
        <f t="shared" si="1"/>
        <v>0</v>
      </c>
    </row>
    <row r="84" spans="1:10" ht="38.25" customHeight="1" hidden="1">
      <c r="A84" s="1170" t="s">
        <v>1104</v>
      </c>
      <c r="B84" s="1176" t="s">
        <v>1105</v>
      </c>
      <c r="C84" s="1177">
        <v>0</v>
      </c>
      <c r="D84" s="1177">
        <v>0</v>
      </c>
      <c r="E84" s="1178">
        <v>0</v>
      </c>
      <c r="F84" s="1178">
        <v>0</v>
      </c>
      <c r="G84" s="1178">
        <v>0</v>
      </c>
      <c r="H84" s="1178">
        <v>0</v>
      </c>
      <c r="I84" s="1178">
        <f t="shared" si="1"/>
        <v>0</v>
      </c>
      <c r="J84" s="1178">
        <f t="shared" si="1"/>
        <v>0</v>
      </c>
    </row>
    <row r="85" spans="1:10" ht="25.5" customHeight="1" hidden="1">
      <c r="A85" s="1170" t="s">
        <v>1106</v>
      </c>
      <c r="B85" s="1176" t="s">
        <v>1107</v>
      </c>
      <c r="C85" s="1177">
        <v>0</v>
      </c>
      <c r="D85" s="1177">
        <v>0</v>
      </c>
      <c r="E85" s="1178">
        <v>0</v>
      </c>
      <c r="F85" s="1178">
        <v>0</v>
      </c>
      <c r="G85" s="1178">
        <v>0</v>
      </c>
      <c r="H85" s="1178">
        <v>0</v>
      </c>
      <c r="I85" s="1178">
        <f t="shared" si="1"/>
        <v>0</v>
      </c>
      <c r="J85" s="1178">
        <f t="shared" si="1"/>
        <v>0</v>
      </c>
    </row>
    <row r="86" spans="1:10" ht="25.5">
      <c r="A86" s="1170" t="s">
        <v>1108</v>
      </c>
      <c r="B86" s="1176" t="s">
        <v>1109</v>
      </c>
      <c r="C86" s="1177">
        <v>181807</v>
      </c>
      <c r="D86" s="1177">
        <v>0</v>
      </c>
      <c r="E86" s="1178">
        <v>0</v>
      </c>
      <c r="F86" s="1178">
        <v>0</v>
      </c>
      <c r="G86" s="1178">
        <v>0</v>
      </c>
      <c r="H86" s="1178">
        <v>0</v>
      </c>
      <c r="I86" s="1178">
        <f t="shared" si="1"/>
        <v>181807</v>
      </c>
      <c r="J86" s="1178">
        <f t="shared" si="1"/>
        <v>0</v>
      </c>
    </row>
    <row r="87" spans="1:10" ht="38.25" customHeight="1" hidden="1">
      <c r="A87" s="1170" t="s">
        <v>1110</v>
      </c>
      <c r="B87" s="1176" t="s">
        <v>1111</v>
      </c>
      <c r="C87" s="1177">
        <v>0</v>
      </c>
      <c r="D87" s="1177">
        <v>0</v>
      </c>
      <c r="E87" s="1178">
        <v>0</v>
      </c>
      <c r="F87" s="1178">
        <v>0</v>
      </c>
      <c r="G87" s="1178">
        <v>0</v>
      </c>
      <c r="H87" s="1178">
        <v>0</v>
      </c>
      <c r="I87" s="1178">
        <f t="shared" si="1"/>
        <v>0</v>
      </c>
      <c r="J87" s="1178">
        <f t="shared" si="1"/>
        <v>0</v>
      </c>
    </row>
    <row r="88" spans="1:10" ht="25.5" customHeight="1" hidden="1">
      <c r="A88" s="1170" t="s">
        <v>1112</v>
      </c>
      <c r="B88" s="1176" t="s">
        <v>1113</v>
      </c>
      <c r="C88" s="1177">
        <v>0</v>
      </c>
      <c r="D88" s="1177">
        <v>0</v>
      </c>
      <c r="E88" s="1178">
        <v>0</v>
      </c>
      <c r="F88" s="1178">
        <v>0</v>
      </c>
      <c r="G88" s="1178">
        <v>0</v>
      </c>
      <c r="H88" s="1178">
        <v>0</v>
      </c>
      <c r="I88" s="1178">
        <f t="shared" si="1"/>
        <v>0</v>
      </c>
      <c r="J88" s="1178">
        <f t="shared" si="1"/>
        <v>0</v>
      </c>
    </row>
    <row r="89" spans="1:10" ht="25.5" customHeight="1" hidden="1">
      <c r="A89" s="1170" t="s">
        <v>1114</v>
      </c>
      <c r="B89" s="1176" t="s">
        <v>1115</v>
      </c>
      <c r="C89" s="1177">
        <v>0</v>
      </c>
      <c r="D89" s="1177">
        <v>0</v>
      </c>
      <c r="E89" s="1178">
        <v>0</v>
      </c>
      <c r="F89" s="1178">
        <v>0</v>
      </c>
      <c r="G89" s="1178">
        <v>0</v>
      </c>
      <c r="H89" s="1178">
        <v>0</v>
      </c>
      <c r="I89" s="1178">
        <f t="shared" si="1"/>
        <v>0</v>
      </c>
      <c r="J89" s="1178">
        <f t="shared" si="1"/>
        <v>0</v>
      </c>
    </row>
    <row r="90" spans="1:10" ht="38.25" customHeight="1" hidden="1">
      <c r="A90" s="1170" t="s">
        <v>1116</v>
      </c>
      <c r="B90" s="1176" t="s">
        <v>1117</v>
      </c>
      <c r="C90" s="1177">
        <v>0</v>
      </c>
      <c r="D90" s="1177">
        <v>0</v>
      </c>
      <c r="E90" s="1178">
        <v>0</v>
      </c>
      <c r="F90" s="1178">
        <v>0</v>
      </c>
      <c r="G90" s="1178">
        <v>0</v>
      </c>
      <c r="H90" s="1178">
        <v>0</v>
      </c>
      <c r="I90" s="1178">
        <f t="shared" si="1"/>
        <v>0</v>
      </c>
      <c r="J90" s="1178">
        <f t="shared" si="1"/>
        <v>0</v>
      </c>
    </row>
    <row r="91" spans="1:10" ht="25.5" customHeight="1" hidden="1">
      <c r="A91" s="1170" t="s">
        <v>1118</v>
      </c>
      <c r="B91" s="1176" t="s">
        <v>1119</v>
      </c>
      <c r="C91" s="1177">
        <v>0</v>
      </c>
      <c r="D91" s="1177">
        <v>0</v>
      </c>
      <c r="E91" s="1178">
        <v>0</v>
      </c>
      <c r="F91" s="1178">
        <v>0</v>
      </c>
      <c r="G91" s="1178">
        <v>0</v>
      </c>
      <c r="H91" s="1178">
        <v>0</v>
      </c>
      <c r="I91" s="1178">
        <f t="shared" si="1"/>
        <v>0</v>
      </c>
      <c r="J91" s="1178">
        <f t="shared" si="1"/>
        <v>0</v>
      </c>
    </row>
    <row r="92" spans="1:10" ht="38.25" customHeight="1" hidden="1">
      <c r="A92" s="1170" t="s">
        <v>1120</v>
      </c>
      <c r="B92" s="1176" t="s">
        <v>1121</v>
      </c>
      <c r="C92" s="1177">
        <v>0</v>
      </c>
      <c r="D92" s="1177">
        <v>0</v>
      </c>
      <c r="E92" s="1178">
        <v>0</v>
      </c>
      <c r="F92" s="1178">
        <v>0</v>
      </c>
      <c r="G92" s="1178">
        <v>0</v>
      </c>
      <c r="H92" s="1178">
        <v>0</v>
      </c>
      <c r="I92" s="1178">
        <f t="shared" si="1"/>
        <v>0</v>
      </c>
      <c r="J92" s="1178">
        <f t="shared" si="1"/>
        <v>0</v>
      </c>
    </row>
    <row r="93" spans="1:10" ht="38.25" customHeight="1" hidden="1">
      <c r="A93" s="1170" t="s">
        <v>1122</v>
      </c>
      <c r="B93" s="1176" t="s">
        <v>1123</v>
      </c>
      <c r="C93" s="1177">
        <v>0</v>
      </c>
      <c r="D93" s="1177">
        <v>0</v>
      </c>
      <c r="E93" s="1178">
        <v>0</v>
      </c>
      <c r="F93" s="1178">
        <v>0</v>
      </c>
      <c r="G93" s="1178">
        <v>0</v>
      </c>
      <c r="H93" s="1178">
        <v>0</v>
      </c>
      <c r="I93" s="1178">
        <f t="shared" si="1"/>
        <v>0</v>
      </c>
      <c r="J93" s="1178">
        <f t="shared" si="1"/>
        <v>0</v>
      </c>
    </row>
    <row r="94" spans="1:10" ht="51" customHeight="1" hidden="1">
      <c r="A94" s="1170" t="s">
        <v>1124</v>
      </c>
      <c r="B94" s="1176" t="s">
        <v>1125</v>
      </c>
      <c r="C94" s="1177">
        <v>0</v>
      </c>
      <c r="D94" s="1177">
        <v>0</v>
      </c>
      <c r="E94" s="1178">
        <v>0</v>
      </c>
      <c r="F94" s="1178">
        <v>0</v>
      </c>
      <c r="G94" s="1178">
        <v>0</v>
      </c>
      <c r="H94" s="1178">
        <v>0</v>
      </c>
      <c r="I94" s="1178">
        <f t="shared" si="1"/>
        <v>0</v>
      </c>
      <c r="J94" s="1178">
        <f t="shared" si="1"/>
        <v>0</v>
      </c>
    </row>
    <row r="95" spans="1:10" ht="63.75" customHeight="1" hidden="1">
      <c r="A95" s="1170" t="s">
        <v>1126</v>
      </c>
      <c r="B95" s="1176" t="s">
        <v>1127</v>
      </c>
      <c r="C95" s="1177">
        <v>0</v>
      </c>
      <c r="D95" s="1177">
        <v>0</v>
      </c>
      <c r="E95" s="1178">
        <v>0</v>
      </c>
      <c r="F95" s="1178">
        <v>0</v>
      </c>
      <c r="G95" s="1178">
        <v>0</v>
      </c>
      <c r="H95" s="1178">
        <v>0</v>
      </c>
      <c r="I95" s="1178">
        <f t="shared" si="1"/>
        <v>0</v>
      </c>
      <c r="J95" s="1178">
        <f t="shared" si="1"/>
        <v>0</v>
      </c>
    </row>
    <row r="96" spans="1:10" ht="51" customHeight="1" hidden="1">
      <c r="A96" s="1170" t="s">
        <v>1128</v>
      </c>
      <c r="B96" s="1176" t="s">
        <v>1129</v>
      </c>
      <c r="C96" s="1177">
        <v>0</v>
      </c>
      <c r="D96" s="1177">
        <v>0</v>
      </c>
      <c r="E96" s="1178">
        <v>0</v>
      </c>
      <c r="F96" s="1178">
        <v>0</v>
      </c>
      <c r="G96" s="1178">
        <v>0</v>
      </c>
      <c r="H96" s="1178">
        <v>0</v>
      </c>
      <c r="I96" s="1178">
        <f t="shared" si="1"/>
        <v>0</v>
      </c>
      <c r="J96" s="1178">
        <f t="shared" si="1"/>
        <v>0</v>
      </c>
    </row>
    <row r="97" spans="1:10" ht="38.25" customHeight="1" hidden="1">
      <c r="A97" s="1170" t="s">
        <v>1130</v>
      </c>
      <c r="B97" s="1176" t="s">
        <v>1131</v>
      </c>
      <c r="C97" s="1177">
        <v>0</v>
      </c>
      <c r="D97" s="1177">
        <v>0</v>
      </c>
      <c r="E97" s="1178">
        <v>0</v>
      </c>
      <c r="F97" s="1178">
        <v>0</v>
      </c>
      <c r="G97" s="1178">
        <v>0</v>
      </c>
      <c r="H97" s="1178">
        <v>0</v>
      </c>
      <c r="I97" s="1178">
        <f t="shared" si="1"/>
        <v>0</v>
      </c>
      <c r="J97" s="1178">
        <f t="shared" si="1"/>
        <v>0</v>
      </c>
    </row>
    <row r="98" spans="1:10" ht="51" customHeight="1" hidden="1">
      <c r="A98" s="1170" t="s">
        <v>1132</v>
      </c>
      <c r="B98" s="1176" t="s">
        <v>1133</v>
      </c>
      <c r="C98" s="1177">
        <v>0</v>
      </c>
      <c r="D98" s="1177">
        <v>0</v>
      </c>
      <c r="E98" s="1178">
        <v>0</v>
      </c>
      <c r="F98" s="1178">
        <v>0</v>
      </c>
      <c r="G98" s="1178">
        <v>0</v>
      </c>
      <c r="H98" s="1178">
        <v>0</v>
      </c>
      <c r="I98" s="1178">
        <f t="shared" si="1"/>
        <v>0</v>
      </c>
      <c r="J98" s="1178">
        <f t="shared" si="1"/>
        <v>0</v>
      </c>
    </row>
    <row r="99" spans="1:10" ht="63.75" customHeight="1" hidden="1">
      <c r="A99" s="1170" t="s">
        <v>1134</v>
      </c>
      <c r="B99" s="1176" t="s">
        <v>1135</v>
      </c>
      <c r="C99" s="1177">
        <v>0</v>
      </c>
      <c r="D99" s="1177">
        <v>0</v>
      </c>
      <c r="E99" s="1178">
        <v>0</v>
      </c>
      <c r="F99" s="1178">
        <v>0</v>
      </c>
      <c r="G99" s="1178">
        <v>0</v>
      </c>
      <c r="H99" s="1178">
        <v>0</v>
      </c>
      <c r="I99" s="1178">
        <f t="shared" si="1"/>
        <v>0</v>
      </c>
      <c r="J99" s="1178">
        <f t="shared" si="1"/>
        <v>0</v>
      </c>
    </row>
    <row r="100" spans="1:10" ht="51" customHeight="1" hidden="1">
      <c r="A100" s="1170" t="s">
        <v>1136</v>
      </c>
      <c r="B100" s="1176" t="s">
        <v>1137</v>
      </c>
      <c r="C100" s="1177">
        <v>0</v>
      </c>
      <c r="D100" s="1177">
        <v>0</v>
      </c>
      <c r="E100" s="1178">
        <v>0</v>
      </c>
      <c r="F100" s="1178">
        <v>0</v>
      </c>
      <c r="G100" s="1178">
        <v>0</v>
      </c>
      <c r="H100" s="1178">
        <v>0</v>
      </c>
      <c r="I100" s="1178">
        <f t="shared" si="1"/>
        <v>0</v>
      </c>
      <c r="J100" s="1178">
        <f t="shared" si="1"/>
        <v>0</v>
      </c>
    </row>
    <row r="101" spans="1:10" ht="38.25" customHeight="1" hidden="1">
      <c r="A101" s="1170" t="s">
        <v>1138</v>
      </c>
      <c r="B101" s="1176" t="s">
        <v>1139</v>
      </c>
      <c r="C101" s="1177">
        <v>0</v>
      </c>
      <c r="D101" s="1177">
        <v>0</v>
      </c>
      <c r="E101" s="1178">
        <v>0</v>
      </c>
      <c r="F101" s="1178">
        <v>0</v>
      </c>
      <c r="G101" s="1178">
        <v>0</v>
      </c>
      <c r="H101" s="1178">
        <v>0</v>
      </c>
      <c r="I101" s="1178">
        <f t="shared" si="1"/>
        <v>0</v>
      </c>
      <c r="J101" s="1178">
        <f t="shared" si="1"/>
        <v>0</v>
      </c>
    </row>
    <row r="102" spans="1:10" ht="38.25" customHeight="1" hidden="1">
      <c r="A102" s="1170" t="s">
        <v>1140</v>
      </c>
      <c r="B102" s="1176" t="s">
        <v>1141</v>
      </c>
      <c r="C102" s="1177">
        <v>0</v>
      </c>
      <c r="D102" s="1177">
        <v>0</v>
      </c>
      <c r="E102" s="1178">
        <v>0</v>
      </c>
      <c r="F102" s="1178">
        <v>0</v>
      </c>
      <c r="G102" s="1178">
        <v>0</v>
      </c>
      <c r="H102" s="1178">
        <v>0</v>
      </c>
      <c r="I102" s="1178">
        <f t="shared" si="1"/>
        <v>0</v>
      </c>
      <c r="J102" s="1178">
        <f t="shared" si="1"/>
        <v>0</v>
      </c>
    </row>
    <row r="103" spans="1:10" ht="38.25" customHeight="1" hidden="1">
      <c r="A103" s="1170" t="s">
        <v>1142</v>
      </c>
      <c r="B103" s="1176" t="s">
        <v>1143</v>
      </c>
      <c r="C103" s="1177">
        <v>0</v>
      </c>
      <c r="D103" s="1177">
        <v>0</v>
      </c>
      <c r="E103" s="1178">
        <v>0</v>
      </c>
      <c r="F103" s="1178">
        <v>0</v>
      </c>
      <c r="G103" s="1178">
        <v>0</v>
      </c>
      <c r="H103" s="1178">
        <v>0</v>
      </c>
      <c r="I103" s="1178">
        <f t="shared" si="1"/>
        <v>0</v>
      </c>
      <c r="J103" s="1178">
        <f t="shared" si="1"/>
        <v>0</v>
      </c>
    </row>
    <row r="104" spans="1:10" ht="38.25" customHeight="1" hidden="1">
      <c r="A104" s="1170" t="s">
        <v>1144</v>
      </c>
      <c r="B104" s="1176" t="s">
        <v>1145</v>
      </c>
      <c r="C104" s="1177">
        <v>0</v>
      </c>
      <c r="D104" s="1177">
        <v>0</v>
      </c>
      <c r="E104" s="1178">
        <v>0</v>
      </c>
      <c r="F104" s="1178">
        <v>0</v>
      </c>
      <c r="G104" s="1178">
        <v>0</v>
      </c>
      <c r="H104" s="1178">
        <v>0</v>
      </c>
      <c r="I104" s="1178">
        <f t="shared" si="1"/>
        <v>0</v>
      </c>
      <c r="J104" s="1178">
        <f t="shared" si="1"/>
        <v>0</v>
      </c>
    </row>
    <row r="105" spans="1:10" ht="38.25" customHeight="1" hidden="1">
      <c r="A105" s="1170" t="s">
        <v>1146</v>
      </c>
      <c r="B105" s="1176" t="s">
        <v>1147</v>
      </c>
      <c r="C105" s="1177">
        <v>0</v>
      </c>
      <c r="D105" s="1177">
        <v>0</v>
      </c>
      <c r="E105" s="1178">
        <v>0</v>
      </c>
      <c r="F105" s="1178">
        <v>0</v>
      </c>
      <c r="G105" s="1178">
        <v>0</v>
      </c>
      <c r="H105" s="1178">
        <v>0</v>
      </c>
      <c r="I105" s="1178">
        <f t="shared" si="1"/>
        <v>0</v>
      </c>
      <c r="J105" s="1178">
        <f t="shared" si="1"/>
        <v>0</v>
      </c>
    </row>
    <row r="106" spans="1:10" ht="38.25" customHeight="1" hidden="1">
      <c r="A106" s="1170" t="s">
        <v>1148</v>
      </c>
      <c r="B106" s="1176" t="s">
        <v>1149</v>
      </c>
      <c r="C106" s="1177">
        <v>0</v>
      </c>
      <c r="D106" s="1177">
        <v>0</v>
      </c>
      <c r="E106" s="1178">
        <v>0</v>
      </c>
      <c r="F106" s="1178">
        <v>0</v>
      </c>
      <c r="G106" s="1178">
        <v>0</v>
      </c>
      <c r="H106" s="1178">
        <v>0</v>
      </c>
      <c r="I106" s="1178">
        <f t="shared" si="1"/>
        <v>0</v>
      </c>
      <c r="J106" s="1178">
        <f t="shared" si="1"/>
        <v>0</v>
      </c>
    </row>
    <row r="107" spans="1:10" ht="38.25" customHeight="1" hidden="1">
      <c r="A107" s="1170" t="s">
        <v>1150</v>
      </c>
      <c r="B107" s="1176" t="s">
        <v>1151</v>
      </c>
      <c r="C107" s="1177">
        <v>0</v>
      </c>
      <c r="D107" s="1177">
        <v>0</v>
      </c>
      <c r="E107" s="1178">
        <v>0</v>
      </c>
      <c r="F107" s="1178">
        <v>0</v>
      </c>
      <c r="G107" s="1178">
        <v>0</v>
      </c>
      <c r="H107" s="1178">
        <v>0</v>
      </c>
      <c r="I107" s="1178">
        <f t="shared" si="1"/>
        <v>0</v>
      </c>
      <c r="J107" s="1178">
        <f t="shared" si="1"/>
        <v>0</v>
      </c>
    </row>
    <row r="108" spans="1:10" ht="38.25" customHeight="1" hidden="1">
      <c r="A108" s="1170" t="s">
        <v>1152</v>
      </c>
      <c r="B108" s="1176" t="s">
        <v>1153</v>
      </c>
      <c r="C108" s="1177">
        <v>0</v>
      </c>
      <c r="D108" s="1177">
        <v>0</v>
      </c>
      <c r="E108" s="1178">
        <v>0</v>
      </c>
      <c r="F108" s="1178">
        <v>0</v>
      </c>
      <c r="G108" s="1178">
        <v>0</v>
      </c>
      <c r="H108" s="1178">
        <v>0</v>
      </c>
      <c r="I108" s="1178">
        <f t="shared" si="1"/>
        <v>0</v>
      </c>
      <c r="J108" s="1178">
        <f t="shared" si="1"/>
        <v>0</v>
      </c>
    </row>
    <row r="109" spans="1:10" ht="25.5">
      <c r="A109" s="1175" t="s">
        <v>1154</v>
      </c>
      <c r="B109" s="1179" t="s">
        <v>1155</v>
      </c>
      <c r="C109" s="1180">
        <v>5699133</v>
      </c>
      <c r="D109" s="1180">
        <v>2228079</v>
      </c>
      <c r="E109" s="1181">
        <v>0</v>
      </c>
      <c r="F109" s="1181">
        <v>0</v>
      </c>
      <c r="G109" s="1181">
        <v>58518</v>
      </c>
      <c r="H109" s="1181">
        <v>21600</v>
      </c>
      <c r="I109" s="1181">
        <f t="shared" si="1"/>
        <v>5757651</v>
      </c>
      <c r="J109" s="1181">
        <f t="shared" si="1"/>
        <v>2249679</v>
      </c>
    </row>
    <row r="110" spans="1:10" ht="51" customHeight="1" hidden="1">
      <c r="A110" s="1170" t="s">
        <v>1156</v>
      </c>
      <c r="B110" s="1176" t="s">
        <v>1157</v>
      </c>
      <c r="C110" s="1177">
        <v>0</v>
      </c>
      <c r="D110" s="1177">
        <v>0</v>
      </c>
      <c r="E110" s="1178">
        <v>0</v>
      </c>
      <c r="F110" s="1178">
        <v>0</v>
      </c>
      <c r="G110" s="1178">
        <v>0</v>
      </c>
      <c r="H110" s="1178">
        <v>0</v>
      </c>
      <c r="I110" s="1178">
        <f t="shared" si="1"/>
        <v>0</v>
      </c>
      <c r="J110" s="1178">
        <f t="shared" si="1"/>
        <v>0</v>
      </c>
    </row>
    <row r="111" spans="1:10" ht="51" customHeight="1" hidden="1">
      <c r="A111" s="1170" t="s">
        <v>1158</v>
      </c>
      <c r="B111" s="1176" t="s">
        <v>1159</v>
      </c>
      <c r="C111" s="1177">
        <v>0</v>
      </c>
      <c r="D111" s="1177">
        <v>0</v>
      </c>
      <c r="E111" s="1178">
        <v>0</v>
      </c>
      <c r="F111" s="1178">
        <v>0</v>
      </c>
      <c r="G111" s="1178">
        <v>0</v>
      </c>
      <c r="H111" s="1178">
        <v>0</v>
      </c>
      <c r="I111" s="1178">
        <f t="shared" si="1"/>
        <v>0</v>
      </c>
      <c r="J111" s="1178">
        <f t="shared" si="1"/>
        <v>0</v>
      </c>
    </row>
    <row r="112" spans="1:10" ht="51" customHeight="1" hidden="1">
      <c r="A112" s="1170" t="s">
        <v>1160</v>
      </c>
      <c r="B112" s="1176" t="s">
        <v>1161</v>
      </c>
      <c r="C112" s="1177">
        <v>0</v>
      </c>
      <c r="D112" s="1177">
        <v>0</v>
      </c>
      <c r="E112" s="1178">
        <v>0</v>
      </c>
      <c r="F112" s="1178">
        <v>0</v>
      </c>
      <c r="G112" s="1178">
        <v>0</v>
      </c>
      <c r="H112" s="1178">
        <v>0</v>
      </c>
      <c r="I112" s="1178">
        <f t="shared" si="1"/>
        <v>0</v>
      </c>
      <c r="J112" s="1178">
        <f t="shared" si="1"/>
        <v>0</v>
      </c>
    </row>
    <row r="113" spans="1:10" ht="51" customHeight="1" hidden="1">
      <c r="A113" s="1170" t="s">
        <v>1162</v>
      </c>
      <c r="B113" s="1176" t="s">
        <v>1163</v>
      </c>
      <c r="C113" s="1177">
        <v>0</v>
      </c>
      <c r="D113" s="1177">
        <v>0</v>
      </c>
      <c r="E113" s="1178">
        <v>0</v>
      </c>
      <c r="F113" s="1178">
        <v>0</v>
      </c>
      <c r="G113" s="1178">
        <v>0</v>
      </c>
      <c r="H113" s="1178">
        <v>0</v>
      </c>
      <c r="I113" s="1178">
        <f t="shared" si="1"/>
        <v>0</v>
      </c>
      <c r="J113" s="1178">
        <f t="shared" si="1"/>
        <v>0</v>
      </c>
    </row>
    <row r="114" spans="1:10" ht="38.25" customHeight="1" hidden="1">
      <c r="A114" s="1170" t="s">
        <v>1164</v>
      </c>
      <c r="B114" s="1176" t="s">
        <v>1165</v>
      </c>
      <c r="C114" s="1177">
        <v>0</v>
      </c>
      <c r="D114" s="1177">
        <v>0</v>
      </c>
      <c r="E114" s="1178">
        <v>0</v>
      </c>
      <c r="F114" s="1178">
        <v>0</v>
      </c>
      <c r="G114" s="1178">
        <v>0</v>
      </c>
      <c r="H114" s="1178">
        <v>0</v>
      </c>
      <c r="I114" s="1178">
        <f t="shared" si="1"/>
        <v>0</v>
      </c>
      <c r="J114" s="1178">
        <f t="shared" si="1"/>
        <v>0</v>
      </c>
    </row>
    <row r="115" spans="1:10" ht="25.5" customHeight="1" hidden="1">
      <c r="A115" s="1170" t="s">
        <v>1166</v>
      </c>
      <c r="B115" s="1176" t="s">
        <v>1167</v>
      </c>
      <c r="C115" s="1177">
        <v>0</v>
      </c>
      <c r="D115" s="1177">
        <v>0</v>
      </c>
      <c r="E115" s="1178">
        <v>0</v>
      </c>
      <c r="F115" s="1178">
        <v>0</v>
      </c>
      <c r="G115" s="1178">
        <v>0</v>
      </c>
      <c r="H115" s="1178">
        <v>0</v>
      </c>
      <c r="I115" s="1178">
        <f t="shared" si="1"/>
        <v>0</v>
      </c>
      <c r="J115" s="1178">
        <f t="shared" si="1"/>
        <v>0</v>
      </c>
    </row>
    <row r="116" spans="1:10" ht="38.25" customHeight="1" hidden="1">
      <c r="A116" s="1170" t="s">
        <v>1168</v>
      </c>
      <c r="B116" s="1176" t="s">
        <v>1169</v>
      </c>
      <c r="C116" s="1177">
        <v>0</v>
      </c>
      <c r="D116" s="1177">
        <v>0</v>
      </c>
      <c r="E116" s="1178">
        <v>0</v>
      </c>
      <c r="F116" s="1178">
        <v>0</v>
      </c>
      <c r="G116" s="1178">
        <v>0</v>
      </c>
      <c r="H116" s="1178">
        <v>0</v>
      </c>
      <c r="I116" s="1178">
        <f t="shared" si="1"/>
        <v>0</v>
      </c>
      <c r="J116" s="1178">
        <f t="shared" si="1"/>
        <v>0</v>
      </c>
    </row>
    <row r="117" spans="1:10" ht="38.25" customHeight="1" hidden="1">
      <c r="A117" s="1170" t="s">
        <v>1170</v>
      </c>
      <c r="B117" s="1176" t="s">
        <v>1171</v>
      </c>
      <c r="C117" s="1177">
        <v>0</v>
      </c>
      <c r="D117" s="1177">
        <v>0</v>
      </c>
      <c r="E117" s="1178">
        <v>0</v>
      </c>
      <c r="F117" s="1178">
        <v>0</v>
      </c>
      <c r="G117" s="1178">
        <v>0</v>
      </c>
      <c r="H117" s="1178">
        <v>0</v>
      </c>
      <c r="I117" s="1178">
        <f t="shared" si="1"/>
        <v>0</v>
      </c>
      <c r="J117" s="1178">
        <f t="shared" si="1"/>
        <v>0</v>
      </c>
    </row>
    <row r="118" spans="1:10" ht="25.5" customHeight="1" hidden="1">
      <c r="A118" s="1170" t="s">
        <v>1172</v>
      </c>
      <c r="B118" s="1176" t="s">
        <v>1173</v>
      </c>
      <c r="C118" s="1177">
        <v>0</v>
      </c>
      <c r="D118" s="1177">
        <v>0</v>
      </c>
      <c r="E118" s="1178">
        <v>0</v>
      </c>
      <c r="F118" s="1178">
        <v>0</v>
      </c>
      <c r="G118" s="1178">
        <v>0</v>
      </c>
      <c r="H118" s="1178">
        <v>0</v>
      </c>
      <c r="I118" s="1178">
        <f t="shared" si="1"/>
        <v>0</v>
      </c>
      <c r="J118" s="1178">
        <f t="shared" si="1"/>
        <v>0</v>
      </c>
    </row>
    <row r="119" spans="1:10" ht="38.25" customHeight="1" hidden="1">
      <c r="A119" s="1170" t="s">
        <v>1174</v>
      </c>
      <c r="B119" s="1176" t="s">
        <v>1175</v>
      </c>
      <c r="C119" s="1177">
        <v>0</v>
      </c>
      <c r="D119" s="1177">
        <v>0</v>
      </c>
      <c r="E119" s="1178">
        <v>0</v>
      </c>
      <c r="F119" s="1178">
        <v>0</v>
      </c>
      <c r="G119" s="1178">
        <v>0</v>
      </c>
      <c r="H119" s="1178">
        <v>0</v>
      </c>
      <c r="I119" s="1178">
        <f t="shared" si="1"/>
        <v>0</v>
      </c>
      <c r="J119" s="1178">
        <f t="shared" si="1"/>
        <v>0</v>
      </c>
    </row>
    <row r="120" spans="1:10" ht="38.25" customHeight="1" hidden="1">
      <c r="A120" s="1170" t="s">
        <v>1176</v>
      </c>
      <c r="B120" s="1176" t="s">
        <v>1177</v>
      </c>
      <c r="C120" s="1177">
        <v>0</v>
      </c>
      <c r="D120" s="1177">
        <v>0</v>
      </c>
      <c r="E120" s="1178">
        <v>0</v>
      </c>
      <c r="F120" s="1178">
        <v>0</v>
      </c>
      <c r="G120" s="1178">
        <v>0</v>
      </c>
      <c r="H120" s="1178">
        <v>0</v>
      </c>
      <c r="I120" s="1178">
        <f t="shared" si="1"/>
        <v>0</v>
      </c>
      <c r="J120" s="1178">
        <f t="shared" si="1"/>
        <v>0</v>
      </c>
    </row>
    <row r="121" spans="1:10" ht="38.25" customHeight="1" hidden="1">
      <c r="A121" s="1170" t="s">
        <v>1178</v>
      </c>
      <c r="B121" s="1176" t="s">
        <v>1179</v>
      </c>
      <c r="C121" s="1177">
        <v>0</v>
      </c>
      <c r="D121" s="1177">
        <v>0</v>
      </c>
      <c r="E121" s="1178">
        <v>0</v>
      </c>
      <c r="F121" s="1178">
        <v>0</v>
      </c>
      <c r="G121" s="1178">
        <v>0</v>
      </c>
      <c r="H121" s="1178">
        <v>0</v>
      </c>
      <c r="I121" s="1178">
        <f t="shared" si="1"/>
        <v>0</v>
      </c>
      <c r="J121" s="1178">
        <f t="shared" si="1"/>
        <v>0</v>
      </c>
    </row>
    <row r="122" spans="1:10" ht="51" customHeight="1" hidden="1">
      <c r="A122" s="1170" t="s">
        <v>1180</v>
      </c>
      <c r="B122" s="1176" t="s">
        <v>1181</v>
      </c>
      <c r="C122" s="1177">
        <v>0</v>
      </c>
      <c r="D122" s="1177">
        <v>0</v>
      </c>
      <c r="E122" s="1178">
        <v>0</v>
      </c>
      <c r="F122" s="1178">
        <v>0</v>
      </c>
      <c r="G122" s="1178">
        <v>0</v>
      </c>
      <c r="H122" s="1178">
        <v>0</v>
      </c>
      <c r="I122" s="1178">
        <f t="shared" si="1"/>
        <v>0</v>
      </c>
      <c r="J122" s="1178">
        <f t="shared" si="1"/>
        <v>0</v>
      </c>
    </row>
    <row r="123" spans="1:10" ht="25.5" customHeight="1" hidden="1">
      <c r="A123" s="1170" t="s">
        <v>1182</v>
      </c>
      <c r="B123" s="1176" t="s">
        <v>1183</v>
      </c>
      <c r="C123" s="1177">
        <v>0</v>
      </c>
      <c r="D123" s="1177">
        <v>0</v>
      </c>
      <c r="E123" s="1178">
        <v>0</v>
      </c>
      <c r="F123" s="1178">
        <v>0</v>
      </c>
      <c r="G123" s="1178">
        <v>0</v>
      </c>
      <c r="H123" s="1178">
        <v>0</v>
      </c>
      <c r="I123" s="1178">
        <f t="shared" si="1"/>
        <v>0</v>
      </c>
      <c r="J123" s="1178">
        <f t="shared" si="1"/>
        <v>0</v>
      </c>
    </row>
    <row r="124" spans="1:10" ht="25.5" customHeight="1" hidden="1">
      <c r="A124" s="1170" t="s">
        <v>1184</v>
      </c>
      <c r="B124" s="1176" t="s">
        <v>1185</v>
      </c>
      <c r="C124" s="1177">
        <v>0</v>
      </c>
      <c r="D124" s="1177">
        <v>0</v>
      </c>
      <c r="E124" s="1178">
        <v>0</v>
      </c>
      <c r="F124" s="1178">
        <v>0</v>
      </c>
      <c r="G124" s="1178">
        <v>0</v>
      </c>
      <c r="H124" s="1178">
        <v>0</v>
      </c>
      <c r="I124" s="1178">
        <f t="shared" si="1"/>
        <v>0</v>
      </c>
      <c r="J124" s="1178">
        <f t="shared" si="1"/>
        <v>0</v>
      </c>
    </row>
    <row r="125" spans="1:10" ht="38.25" customHeight="1" hidden="1">
      <c r="A125" s="1170" t="s">
        <v>1186</v>
      </c>
      <c r="B125" s="1176" t="s">
        <v>1187</v>
      </c>
      <c r="C125" s="1177">
        <v>0</v>
      </c>
      <c r="D125" s="1177">
        <v>0</v>
      </c>
      <c r="E125" s="1178">
        <v>0</v>
      </c>
      <c r="F125" s="1178">
        <v>0</v>
      </c>
      <c r="G125" s="1178">
        <v>0</v>
      </c>
      <c r="H125" s="1178">
        <v>0</v>
      </c>
      <c r="I125" s="1178">
        <f t="shared" si="1"/>
        <v>0</v>
      </c>
      <c r="J125" s="1178">
        <f t="shared" si="1"/>
        <v>0</v>
      </c>
    </row>
    <row r="126" spans="1:10" ht="38.25" customHeight="1" hidden="1">
      <c r="A126" s="1170" t="s">
        <v>1188</v>
      </c>
      <c r="B126" s="1176" t="s">
        <v>1189</v>
      </c>
      <c r="C126" s="1177">
        <v>0</v>
      </c>
      <c r="D126" s="1177">
        <v>0</v>
      </c>
      <c r="E126" s="1178">
        <v>0</v>
      </c>
      <c r="F126" s="1178">
        <v>0</v>
      </c>
      <c r="G126" s="1178">
        <v>0</v>
      </c>
      <c r="H126" s="1178">
        <v>0</v>
      </c>
      <c r="I126" s="1178">
        <f t="shared" si="1"/>
        <v>0</v>
      </c>
      <c r="J126" s="1178">
        <f t="shared" si="1"/>
        <v>0</v>
      </c>
    </row>
    <row r="127" spans="1:10" ht="38.25" customHeight="1" hidden="1">
      <c r="A127" s="1170" t="s">
        <v>1190</v>
      </c>
      <c r="B127" s="1176" t="s">
        <v>1191</v>
      </c>
      <c r="C127" s="1177">
        <v>0</v>
      </c>
      <c r="D127" s="1177">
        <v>0</v>
      </c>
      <c r="E127" s="1178">
        <v>0</v>
      </c>
      <c r="F127" s="1178">
        <v>0</v>
      </c>
      <c r="G127" s="1178">
        <v>0</v>
      </c>
      <c r="H127" s="1178">
        <v>0</v>
      </c>
      <c r="I127" s="1178">
        <f t="shared" si="1"/>
        <v>0</v>
      </c>
      <c r="J127" s="1178">
        <f t="shared" si="1"/>
        <v>0</v>
      </c>
    </row>
    <row r="128" spans="1:10" ht="38.25" customHeight="1" hidden="1">
      <c r="A128" s="1170" t="s">
        <v>1192</v>
      </c>
      <c r="B128" s="1176" t="s">
        <v>1193</v>
      </c>
      <c r="C128" s="1177">
        <v>0</v>
      </c>
      <c r="D128" s="1177">
        <v>0</v>
      </c>
      <c r="E128" s="1178">
        <v>0</v>
      </c>
      <c r="F128" s="1178">
        <v>0</v>
      </c>
      <c r="G128" s="1178">
        <v>0</v>
      </c>
      <c r="H128" s="1178">
        <v>0</v>
      </c>
      <c r="I128" s="1178">
        <f t="shared" si="1"/>
        <v>0</v>
      </c>
      <c r="J128" s="1178">
        <f t="shared" si="1"/>
        <v>0</v>
      </c>
    </row>
    <row r="129" spans="1:10" ht="38.25" customHeight="1" hidden="1">
      <c r="A129" s="1170" t="s">
        <v>1194</v>
      </c>
      <c r="B129" s="1176" t="s">
        <v>1195</v>
      </c>
      <c r="C129" s="1177">
        <v>0</v>
      </c>
      <c r="D129" s="1177">
        <v>0</v>
      </c>
      <c r="E129" s="1178">
        <v>0</v>
      </c>
      <c r="F129" s="1178">
        <v>0</v>
      </c>
      <c r="G129" s="1178">
        <v>0</v>
      </c>
      <c r="H129" s="1178">
        <v>0</v>
      </c>
      <c r="I129" s="1178">
        <f t="shared" si="1"/>
        <v>0</v>
      </c>
      <c r="J129" s="1178">
        <f t="shared" si="1"/>
        <v>0</v>
      </c>
    </row>
    <row r="130" spans="1:10" ht="38.25" customHeight="1" hidden="1">
      <c r="A130" s="1170" t="s">
        <v>1196</v>
      </c>
      <c r="B130" s="1176" t="s">
        <v>1197</v>
      </c>
      <c r="C130" s="1177">
        <v>0</v>
      </c>
      <c r="D130" s="1177">
        <v>0</v>
      </c>
      <c r="E130" s="1178">
        <v>0</v>
      </c>
      <c r="F130" s="1178">
        <v>0</v>
      </c>
      <c r="G130" s="1178">
        <v>0</v>
      </c>
      <c r="H130" s="1178">
        <v>0</v>
      </c>
      <c r="I130" s="1178">
        <f t="shared" si="1"/>
        <v>0</v>
      </c>
      <c r="J130" s="1178">
        <f t="shared" si="1"/>
        <v>0</v>
      </c>
    </row>
    <row r="131" spans="1:10" ht="38.25" customHeight="1" hidden="1">
      <c r="A131" s="1170" t="s">
        <v>1198</v>
      </c>
      <c r="B131" s="1176" t="s">
        <v>1199</v>
      </c>
      <c r="C131" s="1177">
        <v>0</v>
      </c>
      <c r="D131" s="1177">
        <v>0</v>
      </c>
      <c r="E131" s="1178">
        <v>0</v>
      </c>
      <c r="F131" s="1178">
        <v>0</v>
      </c>
      <c r="G131" s="1178">
        <v>0</v>
      </c>
      <c r="H131" s="1178">
        <v>0</v>
      </c>
      <c r="I131" s="1178">
        <f t="shared" si="1"/>
        <v>0</v>
      </c>
      <c r="J131" s="1178">
        <f t="shared" si="1"/>
        <v>0</v>
      </c>
    </row>
    <row r="132" spans="1:10" ht="38.25" customHeight="1" hidden="1">
      <c r="A132" s="1170" t="s">
        <v>1200</v>
      </c>
      <c r="B132" s="1176" t="s">
        <v>1201</v>
      </c>
      <c r="C132" s="1177">
        <v>0</v>
      </c>
      <c r="D132" s="1177">
        <v>0</v>
      </c>
      <c r="E132" s="1178">
        <v>0</v>
      </c>
      <c r="F132" s="1178">
        <v>0</v>
      </c>
      <c r="G132" s="1178">
        <v>0</v>
      </c>
      <c r="H132" s="1178">
        <v>0</v>
      </c>
      <c r="I132" s="1178">
        <f t="shared" si="1"/>
        <v>0</v>
      </c>
      <c r="J132" s="1178">
        <f t="shared" si="1"/>
        <v>0</v>
      </c>
    </row>
    <row r="133" spans="1:10" ht="38.25" customHeight="1" hidden="1">
      <c r="A133" s="1170" t="s">
        <v>1202</v>
      </c>
      <c r="B133" s="1176" t="s">
        <v>1203</v>
      </c>
      <c r="C133" s="1177">
        <v>0</v>
      </c>
      <c r="D133" s="1177">
        <v>0</v>
      </c>
      <c r="E133" s="1178">
        <v>0</v>
      </c>
      <c r="F133" s="1178">
        <v>0</v>
      </c>
      <c r="G133" s="1178">
        <v>0</v>
      </c>
      <c r="H133" s="1178">
        <v>0</v>
      </c>
      <c r="I133" s="1178">
        <f t="shared" si="1"/>
        <v>0</v>
      </c>
      <c r="J133" s="1178">
        <f t="shared" si="1"/>
        <v>0</v>
      </c>
    </row>
    <row r="134" spans="1:10" ht="38.25" customHeight="1" hidden="1">
      <c r="A134" s="1170" t="s">
        <v>1204</v>
      </c>
      <c r="B134" s="1176" t="s">
        <v>1205</v>
      </c>
      <c r="C134" s="1177">
        <v>0</v>
      </c>
      <c r="D134" s="1177">
        <v>0</v>
      </c>
      <c r="E134" s="1178">
        <v>0</v>
      </c>
      <c r="F134" s="1178">
        <v>0</v>
      </c>
      <c r="G134" s="1178">
        <v>0</v>
      </c>
      <c r="H134" s="1178">
        <v>0</v>
      </c>
      <c r="I134" s="1178">
        <f t="shared" si="1"/>
        <v>0</v>
      </c>
      <c r="J134" s="1178">
        <f t="shared" si="1"/>
        <v>0</v>
      </c>
    </row>
    <row r="135" spans="1:10" ht="38.25" customHeight="1" hidden="1">
      <c r="A135" s="1170" t="s">
        <v>1206</v>
      </c>
      <c r="B135" s="1176" t="s">
        <v>1207</v>
      </c>
      <c r="C135" s="1177">
        <v>0</v>
      </c>
      <c r="D135" s="1177">
        <v>0</v>
      </c>
      <c r="E135" s="1178">
        <v>0</v>
      </c>
      <c r="F135" s="1178">
        <v>0</v>
      </c>
      <c r="G135" s="1178">
        <v>0</v>
      </c>
      <c r="H135" s="1178">
        <v>0</v>
      </c>
      <c r="I135" s="1178">
        <f t="shared" si="1"/>
        <v>0</v>
      </c>
      <c r="J135" s="1178">
        <f t="shared" si="1"/>
        <v>0</v>
      </c>
    </row>
    <row r="136" spans="1:10" ht="38.25" customHeight="1" hidden="1">
      <c r="A136" s="1170" t="s">
        <v>1208</v>
      </c>
      <c r="B136" s="1176" t="s">
        <v>1209</v>
      </c>
      <c r="C136" s="1177">
        <v>0</v>
      </c>
      <c r="D136" s="1177">
        <v>0</v>
      </c>
      <c r="E136" s="1178">
        <v>0</v>
      </c>
      <c r="F136" s="1178">
        <v>0</v>
      </c>
      <c r="G136" s="1178">
        <v>0</v>
      </c>
      <c r="H136" s="1178">
        <v>0</v>
      </c>
      <c r="I136" s="1178">
        <f t="shared" si="1"/>
        <v>0</v>
      </c>
      <c r="J136" s="1178">
        <f t="shared" si="1"/>
        <v>0</v>
      </c>
    </row>
    <row r="137" spans="1:10" ht="38.25" customHeight="1" hidden="1">
      <c r="A137" s="1170" t="s">
        <v>1210</v>
      </c>
      <c r="B137" s="1176" t="s">
        <v>1211</v>
      </c>
      <c r="C137" s="1177">
        <v>0</v>
      </c>
      <c r="D137" s="1177">
        <v>0</v>
      </c>
      <c r="E137" s="1178">
        <v>0</v>
      </c>
      <c r="F137" s="1178">
        <v>0</v>
      </c>
      <c r="G137" s="1178">
        <v>0</v>
      </c>
      <c r="H137" s="1178">
        <v>0</v>
      </c>
      <c r="I137" s="1178">
        <f t="shared" si="1"/>
        <v>0</v>
      </c>
      <c r="J137" s="1178">
        <f t="shared" si="1"/>
        <v>0</v>
      </c>
    </row>
    <row r="138" spans="1:10" ht="51" customHeight="1" hidden="1">
      <c r="A138" s="1170" t="s">
        <v>1212</v>
      </c>
      <c r="B138" s="1176" t="s">
        <v>1213</v>
      </c>
      <c r="C138" s="1177">
        <v>0</v>
      </c>
      <c r="D138" s="1177">
        <v>0</v>
      </c>
      <c r="E138" s="1178">
        <v>0</v>
      </c>
      <c r="F138" s="1178">
        <v>0</v>
      </c>
      <c r="G138" s="1178">
        <v>0</v>
      </c>
      <c r="H138" s="1178">
        <v>0</v>
      </c>
      <c r="I138" s="1178">
        <f aca="true" t="shared" si="2" ref="I138:J201">+C138+E138+G138</f>
        <v>0</v>
      </c>
      <c r="J138" s="1178">
        <f t="shared" si="2"/>
        <v>0</v>
      </c>
    </row>
    <row r="139" spans="1:10" ht="63.75" customHeight="1" hidden="1">
      <c r="A139" s="1170" t="s">
        <v>1214</v>
      </c>
      <c r="B139" s="1176" t="s">
        <v>1215</v>
      </c>
      <c r="C139" s="1177">
        <v>0</v>
      </c>
      <c r="D139" s="1177">
        <v>0</v>
      </c>
      <c r="E139" s="1178">
        <v>0</v>
      </c>
      <c r="F139" s="1178">
        <v>0</v>
      </c>
      <c r="G139" s="1178">
        <v>0</v>
      </c>
      <c r="H139" s="1178">
        <v>0</v>
      </c>
      <c r="I139" s="1178">
        <f t="shared" si="2"/>
        <v>0</v>
      </c>
      <c r="J139" s="1178">
        <f t="shared" si="2"/>
        <v>0</v>
      </c>
    </row>
    <row r="140" spans="1:10" ht="51" customHeight="1" hidden="1">
      <c r="A140" s="1170" t="s">
        <v>1216</v>
      </c>
      <c r="B140" s="1176" t="s">
        <v>1217</v>
      </c>
      <c r="C140" s="1177">
        <v>0</v>
      </c>
      <c r="D140" s="1177">
        <v>0</v>
      </c>
      <c r="E140" s="1178">
        <v>0</v>
      </c>
      <c r="F140" s="1178">
        <v>0</v>
      </c>
      <c r="G140" s="1178">
        <v>0</v>
      </c>
      <c r="H140" s="1178">
        <v>0</v>
      </c>
      <c r="I140" s="1178">
        <f t="shared" si="2"/>
        <v>0</v>
      </c>
      <c r="J140" s="1178">
        <f t="shared" si="2"/>
        <v>0</v>
      </c>
    </row>
    <row r="141" spans="1:10" ht="38.25" customHeight="1" hidden="1">
      <c r="A141" s="1170" t="s">
        <v>1218</v>
      </c>
      <c r="B141" s="1176" t="s">
        <v>1219</v>
      </c>
      <c r="C141" s="1177">
        <v>0</v>
      </c>
      <c r="D141" s="1177">
        <v>0</v>
      </c>
      <c r="E141" s="1178">
        <v>0</v>
      </c>
      <c r="F141" s="1178">
        <v>0</v>
      </c>
      <c r="G141" s="1178">
        <v>0</v>
      </c>
      <c r="H141" s="1178">
        <v>0</v>
      </c>
      <c r="I141" s="1178">
        <f t="shared" si="2"/>
        <v>0</v>
      </c>
      <c r="J141" s="1178">
        <f t="shared" si="2"/>
        <v>0</v>
      </c>
    </row>
    <row r="142" spans="1:10" ht="51" customHeight="1" hidden="1">
      <c r="A142" s="1170" t="s">
        <v>1220</v>
      </c>
      <c r="B142" s="1176" t="s">
        <v>1221</v>
      </c>
      <c r="C142" s="1177">
        <v>0</v>
      </c>
      <c r="D142" s="1177">
        <v>0</v>
      </c>
      <c r="E142" s="1178">
        <v>0</v>
      </c>
      <c r="F142" s="1178">
        <v>0</v>
      </c>
      <c r="G142" s="1178">
        <v>0</v>
      </c>
      <c r="H142" s="1178">
        <v>0</v>
      </c>
      <c r="I142" s="1178">
        <f t="shared" si="2"/>
        <v>0</v>
      </c>
      <c r="J142" s="1178">
        <f t="shared" si="2"/>
        <v>0</v>
      </c>
    </row>
    <row r="143" spans="1:10" ht="63.75" customHeight="1" hidden="1">
      <c r="A143" s="1170" t="s">
        <v>1222</v>
      </c>
      <c r="B143" s="1176" t="s">
        <v>1223</v>
      </c>
      <c r="C143" s="1177">
        <v>0</v>
      </c>
      <c r="D143" s="1177">
        <v>0</v>
      </c>
      <c r="E143" s="1178">
        <v>0</v>
      </c>
      <c r="F143" s="1178">
        <v>0</v>
      </c>
      <c r="G143" s="1178">
        <v>0</v>
      </c>
      <c r="H143" s="1178">
        <v>0</v>
      </c>
      <c r="I143" s="1178">
        <f t="shared" si="2"/>
        <v>0</v>
      </c>
      <c r="J143" s="1178">
        <f t="shared" si="2"/>
        <v>0</v>
      </c>
    </row>
    <row r="144" spans="1:10" ht="51" customHeight="1" hidden="1">
      <c r="A144" s="1170" t="s">
        <v>1224</v>
      </c>
      <c r="B144" s="1176" t="s">
        <v>1225</v>
      </c>
      <c r="C144" s="1177">
        <v>0</v>
      </c>
      <c r="D144" s="1177">
        <v>0</v>
      </c>
      <c r="E144" s="1178">
        <v>0</v>
      </c>
      <c r="F144" s="1178">
        <v>0</v>
      </c>
      <c r="G144" s="1178">
        <v>0</v>
      </c>
      <c r="H144" s="1178">
        <v>0</v>
      </c>
      <c r="I144" s="1178">
        <f t="shared" si="2"/>
        <v>0</v>
      </c>
      <c r="J144" s="1178">
        <f t="shared" si="2"/>
        <v>0</v>
      </c>
    </row>
    <row r="145" spans="1:10" ht="38.25" customHeight="1" hidden="1">
      <c r="A145" s="1170" t="s">
        <v>1226</v>
      </c>
      <c r="B145" s="1176" t="s">
        <v>1227</v>
      </c>
      <c r="C145" s="1177">
        <v>0</v>
      </c>
      <c r="D145" s="1177">
        <v>0</v>
      </c>
      <c r="E145" s="1178">
        <v>0</v>
      </c>
      <c r="F145" s="1178">
        <v>0</v>
      </c>
      <c r="G145" s="1178">
        <v>0</v>
      </c>
      <c r="H145" s="1178">
        <v>0</v>
      </c>
      <c r="I145" s="1178">
        <f t="shared" si="2"/>
        <v>0</v>
      </c>
      <c r="J145" s="1178">
        <f t="shared" si="2"/>
        <v>0</v>
      </c>
    </row>
    <row r="146" spans="1:10" ht="38.25" customHeight="1" hidden="1">
      <c r="A146" s="1170" t="s">
        <v>1228</v>
      </c>
      <c r="B146" s="1176" t="s">
        <v>1229</v>
      </c>
      <c r="C146" s="1177">
        <v>0</v>
      </c>
      <c r="D146" s="1177">
        <v>0</v>
      </c>
      <c r="E146" s="1178">
        <v>0</v>
      </c>
      <c r="F146" s="1178">
        <v>0</v>
      </c>
      <c r="G146" s="1178">
        <v>0</v>
      </c>
      <c r="H146" s="1178">
        <v>0</v>
      </c>
      <c r="I146" s="1178">
        <f t="shared" si="2"/>
        <v>0</v>
      </c>
      <c r="J146" s="1178">
        <f t="shared" si="2"/>
        <v>0</v>
      </c>
    </row>
    <row r="147" spans="1:10" ht="38.25" customHeight="1" hidden="1">
      <c r="A147" s="1170" t="s">
        <v>1230</v>
      </c>
      <c r="B147" s="1176" t="s">
        <v>1231</v>
      </c>
      <c r="C147" s="1177">
        <v>0</v>
      </c>
      <c r="D147" s="1177">
        <v>0</v>
      </c>
      <c r="E147" s="1178">
        <v>0</v>
      </c>
      <c r="F147" s="1178">
        <v>0</v>
      </c>
      <c r="G147" s="1178">
        <v>0</v>
      </c>
      <c r="H147" s="1178">
        <v>0</v>
      </c>
      <c r="I147" s="1178">
        <f t="shared" si="2"/>
        <v>0</v>
      </c>
      <c r="J147" s="1178">
        <f t="shared" si="2"/>
        <v>0</v>
      </c>
    </row>
    <row r="148" spans="1:10" ht="38.25" customHeight="1" hidden="1">
      <c r="A148" s="1170" t="s">
        <v>1232</v>
      </c>
      <c r="B148" s="1176" t="s">
        <v>1233</v>
      </c>
      <c r="C148" s="1177">
        <v>0</v>
      </c>
      <c r="D148" s="1177">
        <v>0</v>
      </c>
      <c r="E148" s="1178">
        <v>0</v>
      </c>
      <c r="F148" s="1178">
        <v>0</v>
      </c>
      <c r="G148" s="1178">
        <v>0</v>
      </c>
      <c r="H148" s="1178">
        <v>0</v>
      </c>
      <c r="I148" s="1178">
        <f t="shared" si="2"/>
        <v>0</v>
      </c>
      <c r="J148" s="1178">
        <f t="shared" si="2"/>
        <v>0</v>
      </c>
    </row>
    <row r="149" spans="1:10" ht="38.25" customHeight="1" hidden="1">
      <c r="A149" s="1170" t="s">
        <v>1234</v>
      </c>
      <c r="B149" s="1176" t="s">
        <v>1235</v>
      </c>
      <c r="C149" s="1177">
        <v>0</v>
      </c>
      <c r="D149" s="1177">
        <v>0</v>
      </c>
      <c r="E149" s="1178">
        <v>0</v>
      </c>
      <c r="F149" s="1178">
        <v>0</v>
      </c>
      <c r="G149" s="1178">
        <v>0</v>
      </c>
      <c r="H149" s="1178">
        <v>0</v>
      </c>
      <c r="I149" s="1178">
        <f t="shared" si="2"/>
        <v>0</v>
      </c>
      <c r="J149" s="1178">
        <f t="shared" si="2"/>
        <v>0</v>
      </c>
    </row>
    <row r="150" spans="1:10" ht="25.5" hidden="1">
      <c r="A150" s="1175" t="s">
        <v>1236</v>
      </c>
      <c r="B150" s="1179" t="s">
        <v>1237</v>
      </c>
      <c r="C150" s="1180">
        <v>0</v>
      </c>
      <c r="D150" s="1180">
        <v>0</v>
      </c>
      <c r="E150" s="1181">
        <v>0</v>
      </c>
      <c r="F150" s="1181">
        <v>0</v>
      </c>
      <c r="G150" s="1181">
        <v>0</v>
      </c>
      <c r="H150" s="1181">
        <v>0</v>
      </c>
      <c r="I150" s="1181">
        <f t="shared" si="2"/>
        <v>0</v>
      </c>
      <c r="J150" s="1181">
        <f t="shared" si="2"/>
        <v>0</v>
      </c>
    </row>
    <row r="151" spans="1:10" ht="12.75">
      <c r="A151" s="1170" t="s">
        <v>1238</v>
      </c>
      <c r="B151" s="1176" t="s">
        <v>1239</v>
      </c>
      <c r="C151" s="1177">
        <v>7717502</v>
      </c>
      <c r="D151" s="1177">
        <v>155317</v>
      </c>
      <c r="E151" s="1178">
        <v>564</v>
      </c>
      <c r="F151" s="1178">
        <v>564</v>
      </c>
      <c r="G151" s="1178">
        <v>1888966</v>
      </c>
      <c r="H151" s="1178">
        <v>1888966</v>
      </c>
      <c r="I151" s="1178">
        <f t="shared" si="2"/>
        <v>9607032</v>
      </c>
      <c r="J151" s="1178">
        <f t="shared" si="2"/>
        <v>2044847</v>
      </c>
    </row>
    <row r="152" spans="1:10" ht="25.5" customHeight="1" hidden="1">
      <c r="A152" s="1170" t="s">
        <v>1240</v>
      </c>
      <c r="B152" s="1176" t="s">
        <v>1241</v>
      </c>
      <c r="C152" s="1177">
        <v>0</v>
      </c>
      <c r="D152" s="1177">
        <v>0</v>
      </c>
      <c r="E152" s="1178">
        <v>0</v>
      </c>
      <c r="F152" s="1178">
        <v>0</v>
      </c>
      <c r="G152" s="1178">
        <v>0</v>
      </c>
      <c r="H152" s="1178">
        <v>0</v>
      </c>
      <c r="I152" s="1178">
        <f t="shared" si="2"/>
        <v>0</v>
      </c>
      <c r="J152" s="1178">
        <f t="shared" si="2"/>
        <v>0</v>
      </c>
    </row>
    <row r="153" spans="1:10" ht="25.5">
      <c r="A153" s="1170" t="s">
        <v>1242</v>
      </c>
      <c r="B153" s="1176" t="s">
        <v>1243</v>
      </c>
      <c r="C153" s="1177">
        <v>7717374</v>
      </c>
      <c r="D153" s="1177">
        <v>0</v>
      </c>
      <c r="E153" s="1178">
        <v>0</v>
      </c>
      <c r="F153" s="1178">
        <v>0</v>
      </c>
      <c r="G153" s="1178">
        <v>0</v>
      </c>
      <c r="H153" s="1178">
        <v>0</v>
      </c>
      <c r="I153" s="1178">
        <f t="shared" si="2"/>
        <v>7717374</v>
      </c>
      <c r="J153" s="1178">
        <f t="shared" si="2"/>
        <v>0</v>
      </c>
    </row>
    <row r="154" spans="1:10" ht="12.75">
      <c r="A154" s="1170" t="s">
        <v>1244</v>
      </c>
      <c r="B154" s="1176" t="s">
        <v>1245</v>
      </c>
      <c r="C154" s="1177">
        <v>128</v>
      </c>
      <c r="D154" s="1177">
        <v>155317</v>
      </c>
      <c r="E154" s="1178">
        <v>0</v>
      </c>
      <c r="F154" s="1178">
        <v>0</v>
      </c>
      <c r="G154" s="1178">
        <v>0</v>
      </c>
      <c r="H154" s="1178">
        <v>0</v>
      </c>
      <c r="I154" s="1178">
        <f t="shared" si="2"/>
        <v>128</v>
      </c>
      <c r="J154" s="1178">
        <f t="shared" si="2"/>
        <v>155317</v>
      </c>
    </row>
    <row r="155" spans="1:10" ht="25.5" hidden="1">
      <c r="A155" s="1170" t="s">
        <v>1246</v>
      </c>
      <c r="B155" s="1176" t="s">
        <v>1247</v>
      </c>
      <c r="C155" s="1177">
        <v>0</v>
      </c>
      <c r="D155" s="1177">
        <v>0</v>
      </c>
      <c r="E155" s="1178">
        <v>0</v>
      </c>
      <c r="F155" s="1178">
        <v>0</v>
      </c>
      <c r="G155" s="1178">
        <v>0</v>
      </c>
      <c r="H155" s="1178">
        <v>0</v>
      </c>
      <c r="I155" s="1178">
        <f t="shared" si="2"/>
        <v>0</v>
      </c>
      <c r="J155" s="1178">
        <f t="shared" si="2"/>
        <v>0</v>
      </c>
    </row>
    <row r="156" spans="1:10" ht="25.5">
      <c r="A156" s="1170" t="s">
        <v>1248</v>
      </c>
      <c r="B156" s="1176" t="s">
        <v>1249</v>
      </c>
      <c r="C156" s="1177">
        <v>0</v>
      </c>
      <c r="D156" s="1177">
        <v>0</v>
      </c>
      <c r="E156" s="1178">
        <v>564</v>
      </c>
      <c r="F156" s="1178">
        <v>564</v>
      </c>
      <c r="G156" s="1178">
        <v>1888966</v>
      </c>
      <c r="H156" s="1178">
        <v>1888966</v>
      </c>
      <c r="I156" s="1178">
        <f t="shared" si="2"/>
        <v>1889530</v>
      </c>
      <c r="J156" s="1178">
        <f t="shared" si="2"/>
        <v>1889530</v>
      </c>
    </row>
    <row r="157" spans="1:10" ht="25.5" customHeight="1" hidden="1">
      <c r="A157" s="1170" t="s">
        <v>1250</v>
      </c>
      <c r="B157" s="1176" t="s">
        <v>1251</v>
      </c>
      <c r="C157" s="1177">
        <v>0</v>
      </c>
      <c r="D157" s="1177">
        <v>0</v>
      </c>
      <c r="E157" s="1178">
        <v>0</v>
      </c>
      <c r="F157" s="1178">
        <v>0</v>
      </c>
      <c r="G157" s="1178">
        <v>0</v>
      </c>
      <c r="H157" s="1178">
        <v>0</v>
      </c>
      <c r="I157" s="1178">
        <f t="shared" si="2"/>
        <v>0</v>
      </c>
      <c r="J157" s="1178">
        <f t="shared" si="2"/>
        <v>0</v>
      </c>
    </row>
    <row r="158" spans="1:10" ht="25.5" customHeight="1" hidden="1">
      <c r="A158" s="1170" t="s">
        <v>1252</v>
      </c>
      <c r="B158" s="1176" t="s">
        <v>1253</v>
      </c>
      <c r="C158" s="1177">
        <v>0</v>
      </c>
      <c r="D158" s="1177">
        <v>0</v>
      </c>
      <c r="E158" s="1178">
        <v>0</v>
      </c>
      <c r="F158" s="1178">
        <v>0</v>
      </c>
      <c r="G158" s="1178">
        <v>0</v>
      </c>
      <c r="H158" s="1178">
        <v>0</v>
      </c>
      <c r="I158" s="1178">
        <f t="shared" si="2"/>
        <v>0</v>
      </c>
      <c r="J158" s="1178">
        <f t="shared" si="2"/>
        <v>0</v>
      </c>
    </row>
    <row r="159" spans="1:10" ht="25.5" customHeight="1" hidden="1">
      <c r="A159" s="1170" t="s">
        <v>1254</v>
      </c>
      <c r="B159" s="1176" t="s">
        <v>1255</v>
      </c>
      <c r="C159" s="1177">
        <v>0</v>
      </c>
      <c r="D159" s="1177">
        <v>0</v>
      </c>
      <c r="E159" s="1178">
        <v>0</v>
      </c>
      <c r="F159" s="1178">
        <v>0</v>
      </c>
      <c r="G159" s="1178">
        <v>0</v>
      </c>
      <c r="H159" s="1178">
        <v>0</v>
      </c>
      <c r="I159" s="1178">
        <f t="shared" si="2"/>
        <v>0</v>
      </c>
      <c r="J159" s="1178">
        <f t="shared" si="2"/>
        <v>0</v>
      </c>
    </row>
    <row r="160" spans="1:10" ht="12.75">
      <c r="A160" s="1170" t="s">
        <v>1256</v>
      </c>
      <c r="B160" s="1176" t="s">
        <v>1257</v>
      </c>
      <c r="C160" s="1177">
        <v>70000</v>
      </c>
      <c r="D160" s="1177">
        <v>180000</v>
      </c>
      <c r="E160" s="1178">
        <v>0</v>
      </c>
      <c r="F160" s="1178">
        <v>0</v>
      </c>
      <c r="G160" s="1178">
        <v>0</v>
      </c>
      <c r="H160" s="1178">
        <v>0</v>
      </c>
      <c r="I160" s="1178">
        <f t="shared" si="2"/>
        <v>70000</v>
      </c>
      <c r="J160" s="1178">
        <f t="shared" si="2"/>
        <v>180000</v>
      </c>
    </row>
    <row r="161" spans="1:10" ht="38.25">
      <c r="A161" s="1170" t="s">
        <v>1258</v>
      </c>
      <c r="B161" s="1176" t="s">
        <v>1259</v>
      </c>
      <c r="C161" s="1177">
        <v>66801174</v>
      </c>
      <c r="D161" s="1177">
        <v>66801174</v>
      </c>
      <c r="E161" s="1178">
        <v>0</v>
      </c>
      <c r="F161" s="1178">
        <v>0</v>
      </c>
      <c r="G161" s="1178">
        <v>0</v>
      </c>
      <c r="H161" s="1178">
        <v>0</v>
      </c>
      <c r="I161" s="1178">
        <f t="shared" si="2"/>
        <v>66801174</v>
      </c>
      <c r="J161" s="1178">
        <f t="shared" si="2"/>
        <v>66801174</v>
      </c>
    </row>
    <row r="162" spans="1:10" ht="38.25" customHeight="1" hidden="1">
      <c r="A162" s="1170" t="s">
        <v>1260</v>
      </c>
      <c r="B162" s="1176" t="s">
        <v>1261</v>
      </c>
      <c r="C162" s="1177">
        <v>0</v>
      </c>
      <c r="D162" s="1177">
        <v>0</v>
      </c>
      <c r="E162" s="1178">
        <v>0</v>
      </c>
      <c r="F162" s="1178">
        <v>0</v>
      </c>
      <c r="G162" s="1178">
        <v>0</v>
      </c>
      <c r="H162" s="1178">
        <v>0</v>
      </c>
      <c r="I162" s="1178">
        <f t="shared" si="2"/>
        <v>0</v>
      </c>
      <c r="J162" s="1178">
        <f t="shared" si="2"/>
        <v>0</v>
      </c>
    </row>
    <row r="163" spans="1:10" ht="38.25" customHeight="1" hidden="1">
      <c r="A163" s="1170" t="s">
        <v>1262</v>
      </c>
      <c r="B163" s="1176" t="s">
        <v>1263</v>
      </c>
      <c r="C163" s="1177">
        <v>0</v>
      </c>
      <c r="D163" s="1177">
        <v>0</v>
      </c>
      <c r="E163" s="1178">
        <v>0</v>
      </c>
      <c r="F163" s="1178">
        <v>0</v>
      </c>
      <c r="G163" s="1178">
        <v>0</v>
      </c>
      <c r="H163" s="1178">
        <v>0</v>
      </c>
      <c r="I163" s="1178">
        <f t="shared" si="2"/>
        <v>0</v>
      </c>
      <c r="J163" s="1178">
        <f t="shared" si="2"/>
        <v>0</v>
      </c>
    </row>
    <row r="164" spans="1:10" ht="25.5" customHeight="1" hidden="1">
      <c r="A164" s="1170" t="s">
        <v>1264</v>
      </c>
      <c r="B164" s="1176" t="s">
        <v>1265</v>
      </c>
      <c r="C164" s="1177">
        <v>0</v>
      </c>
      <c r="D164" s="1177">
        <v>0</v>
      </c>
      <c r="E164" s="1178">
        <v>0</v>
      </c>
      <c r="F164" s="1178">
        <v>0</v>
      </c>
      <c r="G164" s="1178">
        <v>0</v>
      </c>
      <c r="H164" s="1178">
        <v>0</v>
      </c>
      <c r="I164" s="1178">
        <f t="shared" si="2"/>
        <v>0</v>
      </c>
      <c r="J164" s="1178">
        <f t="shared" si="2"/>
        <v>0</v>
      </c>
    </row>
    <row r="165" spans="1:10" ht="25.5" customHeight="1" hidden="1">
      <c r="A165" s="1170" t="s">
        <v>1266</v>
      </c>
      <c r="B165" s="1176" t="s">
        <v>1267</v>
      </c>
      <c r="C165" s="1177">
        <v>0</v>
      </c>
      <c r="D165" s="1177">
        <v>0</v>
      </c>
      <c r="E165" s="1178">
        <v>0</v>
      </c>
      <c r="F165" s="1178">
        <v>0</v>
      </c>
      <c r="G165" s="1178">
        <v>0</v>
      </c>
      <c r="H165" s="1178">
        <v>0</v>
      </c>
      <c r="I165" s="1178">
        <f t="shared" si="2"/>
        <v>0</v>
      </c>
      <c r="J165" s="1178">
        <f t="shared" si="2"/>
        <v>0</v>
      </c>
    </row>
    <row r="166" spans="1:10" ht="25.5">
      <c r="A166" s="1175" t="s">
        <v>1268</v>
      </c>
      <c r="B166" s="1179" t="s">
        <v>1269</v>
      </c>
      <c r="C166" s="1180">
        <v>74588676</v>
      </c>
      <c r="D166" s="1180">
        <v>67136491</v>
      </c>
      <c r="E166" s="1181">
        <v>564</v>
      </c>
      <c r="F166" s="1181">
        <v>564</v>
      </c>
      <c r="G166" s="1181">
        <v>1888966</v>
      </c>
      <c r="H166" s="1181">
        <v>1888966</v>
      </c>
      <c r="I166" s="1181">
        <f t="shared" si="2"/>
        <v>76478206</v>
      </c>
      <c r="J166" s="1181">
        <f t="shared" si="2"/>
        <v>69026021</v>
      </c>
    </row>
    <row r="167" spans="1:10" ht="12.75">
      <c r="A167" s="1175" t="s">
        <v>1270</v>
      </c>
      <c r="B167" s="1179" t="s">
        <v>1271</v>
      </c>
      <c r="C167" s="1180">
        <v>80287809</v>
      </c>
      <c r="D167" s="1180">
        <v>69364570</v>
      </c>
      <c r="E167" s="1181">
        <v>564</v>
      </c>
      <c r="F167" s="1181">
        <v>564</v>
      </c>
      <c r="G167" s="1181">
        <v>1947484</v>
      </c>
      <c r="H167" s="1181">
        <v>1910566</v>
      </c>
      <c r="I167" s="1181">
        <f t="shared" si="2"/>
        <v>82235857</v>
      </c>
      <c r="J167" s="1181">
        <f t="shared" si="2"/>
        <v>71275700</v>
      </c>
    </row>
    <row r="168" spans="1:10" ht="25.5" customHeight="1" hidden="1">
      <c r="A168" s="1170" t="s">
        <v>1272</v>
      </c>
      <c r="B168" s="1176" t="s">
        <v>1273</v>
      </c>
      <c r="C168" s="1177">
        <v>0</v>
      </c>
      <c r="D168" s="1177">
        <v>0</v>
      </c>
      <c r="E168" s="1178">
        <v>0</v>
      </c>
      <c r="F168" s="1178">
        <v>0</v>
      </c>
      <c r="G168" s="1178">
        <v>0</v>
      </c>
      <c r="H168" s="1178">
        <v>0</v>
      </c>
      <c r="I168" s="1178">
        <f t="shared" si="2"/>
        <v>0</v>
      </c>
      <c r="J168" s="1178">
        <f t="shared" si="2"/>
        <v>0</v>
      </c>
    </row>
    <row r="169" spans="1:10" ht="25.5">
      <c r="A169" s="1170" t="s">
        <v>1274</v>
      </c>
      <c r="B169" s="1176" t="s">
        <v>1275</v>
      </c>
      <c r="C169" s="1177">
        <v>0</v>
      </c>
      <c r="D169" s="1177">
        <v>0</v>
      </c>
      <c r="E169" s="1178">
        <v>0</v>
      </c>
      <c r="F169" s="1178">
        <v>0</v>
      </c>
      <c r="G169" s="1178">
        <v>342435</v>
      </c>
      <c r="H169" s="1178">
        <v>0</v>
      </c>
      <c r="I169" s="1178">
        <f t="shared" si="2"/>
        <v>342435</v>
      </c>
      <c r="J169" s="1178">
        <f t="shared" si="2"/>
        <v>0</v>
      </c>
    </row>
    <row r="170" spans="1:10" ht="38.25" customHeight="1" hidden="1">
      <c r="A170" s="1170" t="s">
        <v>1276</v>
      </c>
      <c r="B170" s="1176" t="s">
        <v>1277</v>
      </c>
      <c r="C170" s="1177">
        <v>0</v>
      </c>
      <c r="D170" s="1177">
        <v>0</v>
      </c>
      <c r="E170" s="1178">
        <v>0</v>
      </c>
      <c r="F170" s="1178">
        <v>0</v>
      </c>
      <c r="G170" s="1178">
        <v>0</v>
      </c>
      <c r="H170" s="1178">
        <v>0</v>
      </c>
      <c r="I170" s="1178">
        <f t="shared" si="2"/>
        <v>0</v>
      </c>
      <c r="J170" s="1178">
        <f t="shared" si="2"/>
        <v>0</v>
      </c>
    </row>
    <row r="171" spans="1:10" ht="25.5" customHeight="1" hidden="1">
      <c r="A171" s="1170" t="s">
        <v>1278</v>
      </c>
      <c r="B171" s="1176" t="s">
        <v>1279</v>
      </c>
      <c r="C171" s="1177">
        <v>0</v>
      </c>
      <c r="D171" s="1177">
        <v>0</v>
      </c>
      <c r="E171" s="1178">
        <v>0</v>
      </c>
      <c r="F171" s="1178">
        <v>0</v>
      </c>
      <c r="G171" s="1178">
        <v>0</v>
      </c>
      <c r="H171" s="1178">
        <v>0</v>
      </c>
      <c r="I171" s="1178">
        <f t="shared" si="2"/>
        <v>0</v>
      </c>
      <c r="J171" s="1178">
        <f t="shared" si="2"/>
        <v>0</v>
      </c>
    </row>
    <row r="172" spans="1:10" ht="25.5">
      <c r="A172" s="1175" t="s">
        <v>1280</v>
      </c>
      <c r="B172" s="1179" t="s">
        <v>1281</v>
      </c>
      <c r="C172" s="1180">
        <v>0</v>
      </c>
      <c r="D172" s="1180">
        <v>0</v>
      </c>
      <c r="E172" s="1181">
        <v>0</v>
      </c>
      <c r="F172" s="1181">
        <v>0</v>
      </c>
      <c r="G172" s="1181">
        <v>342435</v>
      </c>
      <c r="H172" s="1181">
        <v>0</v>
      </c>
      <c r="I172" s="1181">
        <f t="shared" si="2"/>
        <v>342435</v>
      </c>
      <c r="J172" s="1181">
        <f t="shared" si="2"/>
        <v>0</v>
      </c>
    </row>
    <row r="173" spans="1:10" ht="25.5" customHeight="1" hidden="1">
      <c r="A173" s="1170" t="s">
        <v>1282</v>
      </c>
      <c r="B173" s="1176" t="s">
        <v>1283</v>
      </c>
      <c r="C173" s="1177">
        <v>0</v>
      </c>
      <c r="D173" s="1177">
        <v>0</v>
      </c>
      <c r="E173" s="1178">
        <v>0</v>
      </c>
      <c r="F173" s="1178">
        <v>0</v>
      </c>
      <c r="G173" s="1178">
        <v>0</v>
      </c>
      <c r="H173" s="1178">
        <v>0</v>
      </c>
      <c r="I173" s="1178">
        <f t="shared" si="2"/>
        <v>0</v>
      </c>
      <c r="J173" s="1178">
        <f t="shared" si="2"/>
        <v>0</v>
      </c>
    </row>
    <row r="174" spans="1:10" ht="12.75" customHeight="1" hidden="1">
      <c r="A174" s="1170" t="s">
        <v>1284</v>
      </c>
      <c r="B174" s="1176" t="s">
        <v>1285</v>
      </c>
      <c r="C174" s="1177">
        <v>0</v>
      </c>
      <c r="D174" s="1177">
        <v>0</v>
      </c>
      <c r="E174" s="1178">
        <v>0</v>
      </c>
      <c r="F174" s="1178">
        <v>0</v>
      </c>
      <c r="G174" s="1178">
        <v>0</v>
      </c>
      <c r="H174" s="1178">
        <v>0</v>
      </c>
      <c r="I174" s="1178">
        <f t="shared" si="2"/>
        <v>0</v>
      </c>
      <c r="J174" s="1178">
        <f t="shared" si="2"/>
        <v>0</v>
      </c>
    </row>
    <row r="175" spans="1:10" ht="25.5" customHeight="1" hidden="1">
      <c r="A175" s="1175" t="s">
        <v>1286</v>
      </c>
      <c r="B175" s="1179" t="s">
        <v>1287</v>
      </c>
      <c r="C175" s="1180">
        <v>0</v>
      </c>
      <c r="D175" s="1180">
        <v>0</v>
      </c>
      <c r="E175" s="1181">
        <v>0</v>
      </c>
      <c r="F175" s="1181">
        <v>0</v>
      </c>
      <c r="G175" s="1181">
        <v>0</v>
      </c>
      <c r="H175" s="1181">
        <v>0</v>
      </c>
      <c r="I175" s="1181">
        <f t="shared" si="2"/>
        <v>0</v>
      </c>
      <c r="J175" s="1181">
        <f t="shared" si="2"/>
        <v>0</v>
      </c>
    </row>
    <row r="176" spans="1:10" ht="25.5" customHeight="1" hidden="1">
      <c r="A176" s="1170" t="s">
        <v>1288</v>
      </c>
      <c r="B176" s="1176" t="s">
        <v>1289</v>
      </c>
      <c r="C176" s="1177">
        <v>0</v>
      </c>
      <c r="D176" s="1177">
        <v>0</v>
      </c>
      <c r="E176" s="1178">
        <v>0</v>
      </c>
      <c r="F176" s="1178">
        <v>0</v>
      </c>
      <c r="G176" s="1178">
        <v>0</v>
      </c>
      <c r="H176" s="1178">
        <v>0</v>
      </c>
      <c r="I176" s="1178">
        <f t="shared" si="2"/>
        <v>0</v>
      </c>
      <c r="J176" s="1178">
        <f t="shared" si="2"/>
        <v>0</v>
      </c>
    </row>
    <row r="177" spans="1:10" ht="38.25" customHeight="1" hidden="1">
      <c r="A177" s="1170" t="s">
        <v>1290</v>
      </c>
      <c r="B177" s="1176" t="s">
        <v>1291</v>
      </c>
      <c r="C177" s="1177">
        <v>0</v>
      </c>
      <c r="D177" s="1177">
        <v>0</v>
      </c>
      <c r="E177" s="1178">
        <v>0</v>
      </c>
      <c r="F177" s="1178">
        <v>0</v>
      </c>
      <c r="G177" s="1178">
        <v>0</v>
      </c>
      <c r="H177" s="1178">
        <v>0</v>
      </c>
      <c r="I177" s="1178">
        <f t="shared" si="2"/>
        <v>0</v>
      </c>
      <c r="J177" s="1178">
        <f t="shared" si="2"/>
        <v>0</v>
      </c>
    </row>
    <row r="178" spans="1:10" ht="25.5" customHeight="1" hidden="1">
      <c r="A178" s="1175" t="s">
        <v>1292</v>
      </c>
      <c r="B178" s="1179" t="s">
        <v>1293</v>
      </c>
      <c r="C178" s="1180">
        <v>0</v>
      </c>
      <c r="D178" s="1180">
        <v>0</v>
      </c>
      <c r="E178" s="1181">
        <v>0</v>
      </c>
      <c r="F178" s="1181">
        <v>0</v>
      </c>
      <c r="G178" s="1181">
        <v>0</v>
      </c>
      <c r="H178" s="1181">
        <v>0</v>
      </c>
      <c r="I178" s="1181">
        <f t="shared" si="2"/>
        <v>0</v>
      </c>
      <c r="J178" s="1181">
        <f t="shared" si="2"/>
        <v>0</v>
      </c>
    </row>
    <row r="179" spans="1:10" ht="25.5">
      <c r="A179" s="1175" t="s">
        <v>1294</v>
      </c>
      <c r="B179" s="1179" t="s">
        <v>1295</v>
      </c>
      <c r="C179" s="1180">
        <v>0</v>
      </c>
      <c r="D179" s="1180">
        <v>0</v>
      </c>
      <c r="E179" s="1181">
        <v>0</v>
      </c>
      <c r="F179" s="1181">
        <v>0</v>
      </c>
      <c r="G179" s="1181">
        <v>342435</v>
      </c>
      <c r="H179" s="1181">
        <v>0</v>
      </c>
      <c r="I179" s="1181">
        <f t="shared" si="2"/>
        <v>342435</v>
      </c>
      <c r="J179" s="1181">
        <f t="shared" si="2"/>
        <v>0</v>
      </c>
    </row>
    <row r="180" spans="1:10" ht="25.5" customHeight="1" hidden="1">
      <c r="A180" s="1170" t="s">
        <v>1296</v>
      </c>
      <c r="B180" s="1176" t="s">
        <v>1297</v>
      </c>
      <c r="C180" s="1177">
        <v>0</v>
      </c>
      <c r="D180" s="1177">
        <v>0</v>
      </c>
      <c r="E180" s="1178">
        <v>0</v>
      </c>
      <c r="F180" s="1178">
        <v>0</v>
      </c>
      <c r="G180" s="1178">
        <v>0</v>
      </c>
      <c r="H180" s="1178">
        <v>0</v>
      </c>
      <c r="I180" s="1178">
        <f t="shared" si="2"/>
        <v>0</v>
      </c>
      <c r="J180" s="1178">
        <f t="shared" si="2"/>
        <v>0</v>
      </c>
    </row>
    <row r="181" spans="1:10" ht="25.5" customHeight="1" hidden="1">
      <c r="A181" s="1170" t="s">
        <v>1298</v>
      </c>
      <c r="B181" s="1176" t="s">
        <v>1299</v>
      </c>
      <c r="C181" s="1177">
        <v>0</v>
      </c>
      <c r="D181" s="1177">
        <v>0</v>
      </c>
      <c r="E181" s="1178">
        <v>0</v>
      </c>
      <c r="F181" s="1178">
        <v>0</v>
      </c>
      <c r="G181" s="1178">
        <v>0</v>
      </c>
      <c r="H181" s="1178">
        <v>0</v>
      </c>
      <c r="I181" s="1178">
        <f t="shared" si="2"/>
        <v>0</v>
      </c>
      <c r="J181" s="1178">
        <f t="shared" si="2"/>
        <v>0</v>
      </c>
    </row>
    <row r="182" spans="1:10" ht="12.75" customHeight="1" hidden="1">
      <c r="A182" s="1170" t="s">
        <v>1300</v>
      </c>
      <c r="B182" s="1176" t="s">
        <v>1301</v>
      </c>
      <c r="C182" s="1177">
        <v>0</v>
      </c>
      <c r="D182" s="1177">
        <v>0</v>
      </c>
      <c r="E182" s="1178">
        <v>0</v>
      </c>
      <c r="F182" s="1178">
        <v>0</v>
      </c>
      <c r="G182" s="1178">
        <v>0</v>
      </c>
      <c r="H182" s="1178">
        <v>0</v>
      </c>
      <c r="I182" s="1178">
        <f t="shared" si="2"/>
        <v>0</v>
      </c>
      <c r="J182" s="1178">
        <f t="shared" si="2"/>
        <v>0</v>
      </c>
    </row>
    <row r="183" spans="1:10" ht="25.5" customHeight="1" hidden="1">
      <c r="A183" s="1175" t="s">
        <v>1302</v>
      </c>
      <c r="B183" s="1179" t="s">
        <v>1303</v>
      </c>
      <c r="C183" s="1180">
        <v>0</v>
      </c>
      <c r="D183" s="1180">
        <v>0</v>
      </c>
      <c r="E183" s="1181">
        <v>0</v>
      </c>
      <c r="F183" s="1181">
        <v>0</v>
      </c>
      <c r="G183" s="1181">
        <v>0</v>
      </c>
      <c r="H183" s="1181">
        <v>0</v>
      </c>
      <c r="I183" s="1181">
        <f t="shared" si="2"/>
        <v>0</v>
      </c>
      <c r="J183" s="1181">
        <f t="shared" si="2"/>
        <v>0</v>
      </c>
    </row>
    <row r="184" spans="1:10" ht="12.75">
      <c r="A184" s="1175" t="s">
        <v>1304</v>
      </c>
      <c r="B184" s="1179" t="s">
        <v>1305</v>
      </c>
      <c r="C184" s="1180">
        <v>1662282762</v>
      </c>
      <c r="D184" s="1180">
        <v>1742715364</v>
      </c>
      <c r="E184" s="1181">
        <v>1210437</v>
      </c>
      <c r="F184" s="1181">
        <v>985438</v>
      </c>
      <c r="G184" s="1181">
        <v>5466392</v>
      </c>
      <c r="H184" s="1181">
        <v>6428931</v>
      </c>
      <c r="I184" s="1181">
        <f t="shared" si="2"/>
        <v>1668959591</v>
      </c>
      <c r="J184" s="1181">
        <f t="shared" si="2"/>
        <v>1750129733</v>
      </c>
    </row>
    <row r="185" spans="1:10" ht="12.75">
      <c r="A185" s="1170" t="s">
        <v>1306</v>
      </c>
      <c r="B185" s="1176" t="s">
        <v>1307</v>
      </c>
      <c r="C185" s="1177">
        <v>605374421</v>
      </c>
      <c r="D185" s="1177">
        <v>619978596</v>
      </c>
      <c r="E185" s="1178">
        <v>2204204</v>
      </c>
      <c r="F185" s="1178">
        <v>2204204</v>
      </c>
      <c r="G185" s="1178">
        <v>0</v>
      </c>
      <c r="H185" s="1178">
        <v>0</v>
      </c>
      <c r="I185" s="1178">
        <f t="shared" si="2"/>
        <v>607578625</v>
      </c>
      <c r="J185" s="1178">
        <f t="shared" si="2"/>
        <v>622182800</v>
      </c>
    </row>
    <row r="186" spans="1:10" ht="12.75">
      <c r="A186" s="1170" t="s">
        <v>1308</v>
      </c>
      <c r="B186" s="1176" t="s">
        <v>1309</v>
      </c>
      <c r="C186" s="1177">
        <v>180261334</v>
      </c>
      <c r="D186" s="1177">
        <v>195202532</v>
      </c>
      <c r="E186" s="1178">
        <v>0</v>
      </c>
      <c r="F186" s="1178">
        <v>0</v>
      </c>
      <c r="G186" s="1178">
        <v>0</v>
      </c>
      <c r="H186" s="1178">
        <v>0</v>
      </c>
      <c r="I186" s="1178">
        <f t="shared" si="2"/>
        <v>180261334</v>
      </c>
      <c r="J186" s="1178">
        <f t="shared" si="2"/>
        <v>195202532</v>
      </c>
    </row>
    <row r="187" spans="1:10" ht="25.5" customHeight="1">
      <c r="A187" s="1170" t="s">
        <v>1310</v>
      </c>
      <c r="B187" s="1176" t="s">
        <v>1452</v>
      </c>
      <c r="C187" s="1177">
        <v>81973873</v>
      </c>
      <c r="D187" s="1177">
        <v>81973873</v>
      </c>
      <c r="E187" s="1178">
        <v>14503886</v>
      </c>
      <c r="F187" s="1178">
        <v>14503886</v>
      </c>
      <c r="G187" s="1178">
        <v>17445000</v>
      </c>
      <c r="H187" s="1178">
        <v>17445000</v>
      </c>
      <c r="I187" s="1178">
        <f t="shared" si="2"/>
        <v>113922759</v>
      </c>
      <c r="J187" s="1178">
        <f t="shared" si="2"/>
        <v>113922759</v>
      </c>
    </row>
    <row r="188" spans="1:10" ht="38.25" customHeight="1">
      <c r="A188" s="1170" t="s">
        <v>1311</v>
      </c>
      <c r="B188" s="1176" t="s">
        <v>1315</v>
      </c>
      <c r="C188" s="1177">
        <v>549908330</v>
      </c>
      <c r="D188" s="1177">
        <v>775922983</v>
      </c>
      <c r="E188" s="1178">
        <v>-20724111</v>
      </c>
      <c r="F188" s="1178">
        <v>-22232314</v>
      </c>
      <c r="G188" s="1178">
        <v>-17380467</v>
      </c>
      <c r="H188" s="1178">
        <v>-18416107</v>
      </c>
      <c r="I188" s="1178">
        <f t="shared" si="2"/>
        <v>511803752</v>
      </c>
      <c r="J188" s="1178">
        <f t="shared" si="2"/>
        <v>735274562</v>
      </c>
    </row>
    <row r="189" spans="1:10" ht="12.75" hidden="1">
      <c r="A189" s="1170" t="s">
        <v>1312</v>
      </c>
      <c r="B189" s="1176" t="s">
        <v>1317</v>
      </c>
      <c r="C189" s="1177">
        <v>0</v>
      </c>
      <c r="D189" s="1177">
        <v>0</v>
      </c>
      <c r="E189" s="1178">
        <v>0</v>
      </c>
      <c r="F189" s="1178">
        <v>0</v>
      </c>
      <c r="G189" s="1178">
        <v>0</v>
      </c>
      <c r="H189" s="1178">
        <v>0</v>
      </c>
      <c r="I189" s="1178">
        <f t="shared" si="2"/>
        <v>0</v>
      </c>
      <c r="J189" s="1178">
        <f t="shared" si="2"/>
        <v>0</v>
      </c>
    </row>
    <row r="190" spans="1:10" ht="12.75">
      <c r="A190" s="1175" t="s">
        <v>1313</v>
      </c>
      <c r="B190" s="1176" t="s">
        <v>1319</v>
      </c>
      <c r="C190" s="1177">
        <v>226014653</v>
      </c>
      <c r="D190" s="1177">
        <v>29277891</v>
      </c>
      <c r="E190" s="1178">
        <v>-1508203</v>
      </c>
      <c r="F190" s="1178">
        <v>391826</v>
      </c>
      <c r="G190" s="1178">
        <v>-1035640</v>
      </c>
      <c r="H190" s="1178">
        <v>136649</v>
      </c>
      <c r="I190" s="1178">
        <f t="shared" si="2"/>
        <v>223470810</v>
      </c>
      <c r="J190" s="1178">
        <f t="shared" si="2"/>
        <v>29806366</v>
      </c>
    </row>
    <row r="191" spans="1:10" ht="12.75">
      <c r="A191" s="1170" t="s">
        <v>1314</v>
      </c>
      <c r="B191" s="1179" t="s">
        <v>1321</v>
      </c>
      <c r="C191" s="1180">
        <v>1643532611</v>
      </c>
      <c r="D191" s="1180">
        <v>1702355875</v>
      </c>
      <c r="E191" s="1181">
        <v>-5524224</v>
      </c>
      <c r="F191" s="1181">
        <v>-5132398</v>
      </c>
      <c r="G191" s="1181">
        <v>-971107</v>
      </c>
      <c r="H191" s="1181">
        <v>-834458</v>
      </c>
      <c r="I191" s="1181">
        <f t="shared" si="2"/>
        <v>1637037280</v>
      </c>
      <c r="J191" s="1181">
        <f t="shared" si="2"/>
        <v>1696389019</v>
      </c>
    </row>
    <row r="192" spans="1:10" ht="25.5" hidden="1">
      <c r="A192" s="1170" t="s">
        <v>1316</v>
      </c>
      <c r="B192" s="1176" t="s">
        <v>1323</v>
      </c>
      <c r="C192" s="1177">
        <v>0</v>
      </c>
      <c r="D192" s="1177">
        <v>0</v>
      </c>
      <c r="E192" s="1178">
        <v>0</v>
      </c>
      <c r="F192" s="1178">
        <v>0</v>
      </c>
      <c r="G192" s="1178">
        <v>0</v>
      </c>
      <c r="H192" s="1178">
        <v>0</v>
      </c>
      <c r="I192" s="1178">
        <f t="shared" si="2"/>
        <v>0</v>
      </c>
      <c r="J192" s="1178">
        <f t="shared" si="2"/>
        <v>0</v>
      </c>
    </row>
    <row r="193" spans="1:10" ht="38.25" hidden="1">
      <c r="A193" s="1170" t="s">
        <v>1318</v>
      </c>
      <c r="B193" s="1176" t="s">
        <v>1325</v>
      </c>
      <c r="C193" s="1177">
        <v>0</v>
      </c>
      <c r="D193" s="1177">
        <v>0</v>
      </c>
      <c r="E193" s="1178">
        <v>0</v>
      </c>
      <c r="F193" s="1178">
        <v>0</v>
      </c>
      <c r="G193" s="1178">
        <v>0</v>
      </c>
      <c r="H193" s="1178">
        <v>0</v>
      </c>
      <c r="I193" s="1178">
        <f t="shared" si="2"/>
        <v>0</v>
      </c>
      <c r="J193" s="1178">
        <f t="shared" si="2"/>
        <v>0</v>
      </c>
    </row>
    <row r="194" spans="1:10" ht="25.5">
      <c r="A194" s="1175" t="s">
        <v>1320</v>
      </c>
      <c r="B194" s="1176" t="s">
        <v>1327</v>
      </c>
      <c r="C194" s="1177">
        <v>0</v>
      </c>
      <c r="D194" s="1177">
        <v>0</v>
      </c>
      <c r="E194" s="1178">
        <v>0</v>
      </c>
      <c r="F194" s="1178">
        <v>0</v>
      </c>
      <c r="G194" s="1178">
        <v>0</v>
      </c>
      <c r="H194" s="1178">
        <v>141633</v>
      </c>
      <c r="I194" s="1178">
        <f t="shared" si="2"/>
        <v>0</v>
      </c>
      <c r="J194" s="1178">
        <f t="shared" si="2"/>
        <v>141633</v>
      </c>
    </row>
    <row r="195" spans="1:10" ht="25.5" customHeight="1" hidden="1">
      <c r="A195" s="1170" t="s">
        <v>1322</v>
      </c>
      <c r="B195" s="1176" t="s">
        <v>1329</v>
      </c>
      <c r="C195" s="1177">
        <v>0</v>
      </c>
      <c r="D195" s="1177">
        <v>0</v>
      </c>
      <c r="E195" s="1178">
        <v>0</v>
      </c>
      <c r="F195" s="1178">
        <v>0</v>
      </c>
      <c r="G195" s="1178">
        <v>0</v>
      </c>
      <c r="H195" s="1178">
        <v>0</v>
      </c>
      <c r="I195" s="1178">
        <f t="shared" si="2"/>
        <v>0</v>
      </c>
      <c r="J195" s="1178">
        <f t="shared" si="2"/>
        <v>0</v>
      </c>
    </row>
    <row r="196" spans="1:10" ht="38.25" customHeight="1" hidden="1">
      <c r="A196" s="1170" t="s">
        <v>1324</v>
      </c>
      <c r="B196" s="1176" t="s">
        <v>1331</v>
      </c>
      <c r="C196" s="1177">
        <v>0</v>
      </c>
      <c r="D196" s="1177">
        <v>0</v>
      </c>
      <c r="E196" s="1178">
        <v>0</v>
      </c>
      <c r="F196" s="1178">
        <v>0</v>
      </c>
      <c r="G196" s="1178">
        <v>0</v>
      </c>
      <c r="H196" s="1178">
        <v>0</v>
      </c>
      <c r="I196" s="1178">
        <f t="shared" si="2"/>
        <v>0</v>
      </c>
      <c r="J196" s="1178">
        <f t="shared" si="2"/>
        <v>0</v>
      </c>
    </row>
    <row r="197" spans="1:10" ht="51" hidden="1">
      <c r="A197" s="1170" t="s">
        <v>1326</v>
      </c>
      <c r="B197" s="1176" t="s">
        <v>1333</v>
      </c>
      <c r="C197" s="1177">
        <v>0</v>
      </c>
      <c r="D197" s="1177">
        <v>0</v>
      </c>
      <c r="E197" s="1178">
        <v>0</v>
      </c>
      <c r="F197" s="1178">
        <v>0</v>
      </c>
      <c r="G197" s="1178">
        <v>0</v>
      </c>
      <c r="H197" s="1178">
        <v>0</v>
      </c>
      <c r="I197" s="1178">
        <f t="shared" si="2"/>
        <v>0</v>
      </c>
      <c r="J197" s="1178">
        <f t="shared" si="2"/>
        <v>0</v>
      </c>
    </row>
    <row r="198" spans="1:10" ht="25.5" customHeight="1" hidden="1">
      <c r="A198" s="1170" t="s">
        <v>1328</v>
      </c>
      <c r="B198" s="1176" t="s">
        <v>1335</v>
      </c>
      <c r="C198" s="1177">
        <v>0</v>
      </c>
      <c r="D198" s="1177">
        <v>0</v>
      </c>
      <c r="E198" s="1178">
        <v>0</v>
      </c>
      <c r="F198" s="1178">
        <v>0</v>
      </c>
      <c r="G198" s="1178">
        <v>0</v>
      </c>
      <c r="H198" s="1178">
        <v>0</v>
      </c>
      <c r="I198" s="1178">
        <f t="shared" si="2"/>
        <v>0</v>
      </c>
      <c r="J198" s="1178">
        <f t="shared" si="2"/>
        <v>0</v>
      </c>
    </row>
    <row r="199" spans="1:10" ht="38.25" customHeight="1" hidden="1">
      <c r="A199" s="1170" t="s">
        <v>1330</v>
      </c>
      <c r="B199" s="1176" t="s">
        <v>1337</v>
      </c>
      <c r="C199" s="1177">
        <v>0</v>
      </c>
      <c r="D199" s="1177">
        <v>0</v>
      </c>
      <c r="E199" s="1178">
        <v>0</v>
      </c>
      <c r="F199" s="1178">
        <v>0</v>
      </c>
      <c r="G199" s="1178">
        <v>0</v>
      </c>
      <c r="H199" s="1178">
        <v>0</v>
      </c>
      <c r="I199" s="1178">
        <f t="shared" si="2"/>
        <v>0</v>
      </c>
      <c r="J199" s="1178">
        <f t="shared" si="2"/>
        <v>0</v>
      </c>
    </row>
    <row r="200" spans="1:10" ht="51" customHeight="1">
      <c r="A200" s="1170" t="s">
        <v>1332</v>
      </c>
      <c r="B200" s="1176" t="s">
        <v>1339</v>
      </c>
      <c r="C200" s="1177">
        <v>0</v>
      </c>
      <c r="D200" s="1177">
        <v>22824544</v>
      </c>
      <c r="E200" s="1178">
        <v>0</v>
      </c>
      <c r="F200" s="1178">
        <v>0</v>
      </c>
      <c r="G200" s="1178">
        <v>0</v>
      </c>
      <c r="H200" s="1178">
        <v>0</v>
      </c>
      <c r="I200" s="1178">
        <f t="shared" si="2"/>
        <v>0</v>
      </c>
      <c r="J200" s="1178">
        <f t="shared" si="2"/>
        <v>22824544</v>
      </c>
    </row>
    <row r="201" spans="1:10" ht="38.25" customHeight="1" hidden="1">
      <c r="A201" s="1170" t="s">
        <v>1334</v>
      </c>
      <c r="B201" s="1176" t="s">
        <v>1341</v>
      </c>
      <c r="C201" s="1177">
        <v>0</v>
      </c>
      <c r="D201" s="1177">
        <v>0</v>
      </c>
      <c r="E201" s="1178">
        <v>0</v>
      </c>
      <c r="F201" s="1178">
        <v>0</v>
      </c>
      <c r="G201" s="1178">
        <v>0</v>
      </c>
      <c r="H201" s="1178">
        <v>0</v>
      </c>
      <c r="I201" s="1178">
        <f t="shared" si="2"/>
        <v>0</v>
      </c>
      <c r="J201" s="1178">
        <f t="shared" si="2"/>
        <v>0</v>
      </c>
    </row>
    <row r="202" spans="1:10" ht="25.5" customHeight="1" hidden="1">
      <c r="A202" s="1170" t="s">
        <v>1336</v>
      </c>
      <c r="B202" s="1176" t="s">
        <v>1343</v>
      </c>
      <c r="C202" s="1177">
        <v>0</v>
      </c>
      <c r="D202" s="1177">
        <v>0</v>
      </c>
      <c r="E202" s="1178">
        <v>0</v>
      </c>
      <c r="F202" s="1178">
        <v>0</v>
      </c>
      <c r="G202" s="1178">
        <v>0</v>
      </c>
      <c r="H202" s="1178">
        <v>0</v>
      </c>
      <c r="I202" s="1178">
        <f aca="true" t="shared" si="3" ref="I202:J258">+C202+E202+G202</f>
        <v>0</v>
      </c>
      <c r="J202" s="1178">
        <f t="shared" si="3"/>
        <v>0</v>
      </c>
    </row>
    <row r="203" spans="1:10" ht="25.5" customHeight="1" hidden="1">
      <c r="A203" s="1170" t="s">
        <v>1338</v>
      </c>
      <c r="B203" s="1176" t="s">
        <v>1345</v>
      </c>
      <c r="C203" s="1177">
        <v>0</v>
      </c>
      <c r="D203" s="1177">
        <v>0</v>
      </c>
      <c r="E203" s="1178">
        <v>0</v>
      </c>
      <c r="F203" s="1178">
        <v>0</v>
      </c>
      <c r="G203" s="1178">
        <v>0</v>
      </c>
      <c r="H203" s="1178">
        <v>0</v>
      </c>
      <c r="I203" s="1178">
        <f t="shared" si="3"/>
        <v>0</v>
      </c>
      <c r="J203" s="1178">
        <f t="shared" si="3"/>
        <v>0</v>
      </c>
    </row>
    <row r="204" spans="1:10" ht="38.25" customHeight="1" hidden="1">
      <c r="A204" s="1170" t="s">
        <v>1340</v>
      </c>
      <c r="B204" s="1176" t="s">
        <v>1347</v>
      </c>
      <c r="C204" s="1177">
        <v>0</v>
      </c>
      <c r="D204" s="1177">
        <v>0</v>
      </c>
      <c r="E204" s="1178">
        <v>0</v>
      </c>
      <c r="F204" s="1178">
        <v>0</v>
      </c>
      <c r="G204" s="1178">
        <v>0</v>
      </c>
      <c r="H204" s="1178">
        <v>0</v>
      </c>
      <c r="I204" s="1178">
        <f t="shared" si="3"/>
        <v>0</v>
      </c>
      <c r="J204" s="1178">
        <f t="shared" si="3"/>
        <v>0</v>
      </c>
    </row>
    <row r="205" spans="1:10" ht="51" customHeight="1" hidden="1">
      <c r="A205" s="1170" t="s">
        <v>1342</v>
      </c>
      <c r="B205" s="1176" t="s">
        <v>1349</v>
      </c>
      <c r="C205" s="1177">
        <v>0</v>
      </c>
      <c r="D205" s="1177">
        <v>0</v>
      </c>
      <c r="E205" s="1178">
        <v>0</v>
      </c>
      <c r="F205" s="1178">
        <v>0</v>
      </c>
      <c r="G205" s="1178">
        <v>0</v>
      </c>
      <c r="H205" s="1178">
        <v>0</v>
      </c>
      <c r="I205" s="1178">
        <f t="shared" si="3"/>
        <v>0</v>
      </c>
      <c r="J205" s="1178">
        <f t="shared" si="3"/>
        <v>0</v>
      </c>
    </row>
    <row r="206" spans="1:10" ht="38.25" customHeight="1" hidden="1">
      <c r="A206" s="1170" t="s">
        <v>1344</v>
      </c>
      <c r="B206" s="1176" t="s">
        <v>1351</v>
      </c>
      <c r="C206" s="1177">
        <v>0</v>
      </c>
      <c r="D206" s="1177">
        <v>0</v>
      </c>
      <c r="E206" s="1178">
        <v>0</v>
      </c>
      <c r="F206" s="1178">
        <v>0</v>
      </c>
      <c r="G206" s="1178">
        <v>0</v>
      </c>
      <c r="H206" s="1178">
        <v>0</v>
      </c>
      <c r="I206" s="1178">
        <f t="shared" si="3"/>
        <v>0</v>
      </c>
      <c r="J206" s="1178">
        <f t="shared" si="3"/>
        <v>0</v>
      </c>
    </row>
    <row r="207" spans="1:10" ht="38.25" customHeight="1" hidden="1">
      <c r="A207" s="1170" t="s">
        <v>1346</v>
      </c>
      <c r="B207" s="1176" t="s">
        <v>1353</v>
      </c>
      <c r="C207" s="1177">
        <v>0</v>
      </c>
      <c r="D207" s="1177">
        <v>0</v>
      </c>
      <c r="E207" s="1178">
        <v>0</v>
      </c>
      <c r="F207" s="1178">
        <v>0</v>
      </c>
      <c r="G207" s="1178">
        <v>0</v>
      </c>
      <c r="H207" s="1178">
        <v>0</v>
      </c>
      <c r="I207" s="1178">
        <f t="shared" si="3"/>
        <v>0</v>
      </c>
      <c r="J207" s="1178">
        <f t="shared" si="3"/>
        <v>0</v>
      </c>
    </row>
    <row r="208" spans="1:10" ht="51" customHeight="1" hidden="1">
      <c r="A208" s="1170" t="s">
        <v>1348</v>
      </c>
      <c r="B208" s="1176" t="s">
        <v>1355</v>
      </c>
      <c r="C208" s="1177">
        <v>0</v>
      </c>
      <c r="D208" s="1177">
        <v>0</v>
      </c>
      <c r="E208" s="1178">
        <v>0</v>
      </c>
      <c r="F208" s="1178">
        <v>0</v>
      </c>
      <c r="G208" s="1178">
        <v>0</v>
      </c>
      <c r="H208" s="1178">
        <v>0</v>
      </c>
      <c r="I208" s="1178">
        <f t="shared" si="3"/>
        <v>0</v>
      </c>
      <c r="J208" s="1178">
        <f t="shared" si="3"/>
        <v>0</v>
      </c>
    </row>
    <row r="209" spans="1:10" ht="51" customHeight="1" hidden="1">
      <c r="A209" s="1170" t="s">
        <v>1350</v>
      </c>
      <c r="B209" s="1176" t="s">
        <v>1357</v>
      </c>
      <c r="C209" s="1177">
        <v>0</v>
      </c>
      <c r="D209" s="1177">
        <v>0</v>
      </c>
      <c r="E209" s="1178">
        <v>0</v>
      </c>
      <c r="F209" s="1178">
        <v>0</v>
      </c>
      <c r="G209" s="1178">
        <v>0</v>
      </c>
      <c r="H209" s="1178">
        <v>0</v>
      </c>
      <c r="I209" s="1178">
        <f t="shared" si="3"/>
        <v>0</v>
      </c>
      <c r="J209" s="1178">
        <f t="shared" si="3"/>
        <v>0</v>
      </c>
    </row>
    <row r="210" spans="1:10" ht="25.5" customHeight="1" hidden="1">
      <c r="A210" s="1170" t="s">
        <v>1352</v>
      </c>
      <c r="B210" s="1176" t="s">
        <v>1359</v>
      </c>
      <c r="C210" s="1177">
        <v>0</v>
      </c>
      <c r="D210" s="1177">
        <v>0</v>
      </c>
      <c r="E210" s="1178">
        <v>0</v>
      </c>
      <c r="F210" s="1178">
        <v>0</v>
      </c>
      <c r="G210" s="1178">
        <v>0</v>
      </c>
      <c r="H210" s="1178">
        <v>0</v>
      </c>
      <c r="I210" s="1178">
        <f t="shared" si="3"/>
        <v>0</v>
      </c>
      <c r="J210" s="1178">
        <f t="shared" si="3"/>
        <v>0</v>
      </c>
    </row>
    <row r="211" spans="1:10" ht="38.25" customHeight="1" hidden="1">
      <c r="A211" s="1170" t="s">
        <v>1354</v>
      </c>
      <c r="B211" s="1176" t="s">
        <v>1361</v>
      </c>
      <c r="C211" s="1177">
        <v>0</v>
      </c>
      <c r="D211" s="1177">
        <v>0</v>
      </c>
      <c r="E211" s="1178">
        <v>0</v>
      </c>
      <c r="F211" s="1178">
        <v>0</v>
      </c>
      <c r="G211" s="1178">
        <v>0</v>
      </c>
      <c r="H211" s="1178">
        <v>0</v>
      </c>
      <c r="I211" s="1178">
        <f t="shared" si="3"/>
        <v>0</v>
      </c>
      <c r="J211" s="1178">
        <f t="shared" si="3"/>
        <v>0</v>
      </c>
    </row>
    <row r="212" spans="1:10" ht="25.5" customHeight="1" hidden="1">
      <c r="A212" s="1170" t="s">
        <v>1356</v>
      </c>
      <c r="B212" s="1176" t="s">
        <v>1363</v>
      </c>
      <c r="C212" s="1177">
        <v>0</v>
      </c>
      <c r="D212" s="1177">
        <v>0</v>
      </c>
      <c r="E212" s="1178">
        <v>0</v>
      </c>
      <c r="F212" s="1178">
        <v>0</v>
      </c>
      <c r="G212" s="1178">
        <v>0</v>
      </c>
      <c r="H212" s="1178">
        <v>0</v>
      </c>
      <c r="I212" s="1178">
        <f t="shared" si="3"/>
        <v>0</v>
      </c>
      <c r="J212" s="1178">
        <f t="shared" si="3"/>
        <v>0</v>
      </c>
    </row>
    <row r="213" spans="1:10" ht="38.25" customHeight="1" hidden="1">
      <c r="A213" s="1170" t="s">
        <v>1358</v>
      </c>
      <c r="B213" s="1176" t="s">
        <v>1365</v>
      </c>
      <c r="C213" s="1177">
        <v>0</v>
      </c>
      <c r="D213" s="1177">
        <v>0</v>
      </c>
      <c r="E213" s="1178">
        <v>0</v>
      </c>
      <c r="F213" s="1178">
        <v>0</v>
      </c>
      <c r="G213" s="1178">
        <v>0</v>
      </c>
      <c r="H213" s="1178">
        <v>0</v>
      </c>
      <c r="I213" s="1178">
        <f t="shared" si="3"/>
        <v>0</v>
      </c>
      <c r="J213" s="1178">
        <f t="shared" si="3"/>
        <v>0</v>
      </c>
    </row>
    <row r="214" spans="1:10" ht="38.25" customHeight="1" hidden="1">
      <c r="A214" s="1170" t="s">
        <v>1360</v>
      </c>
      <c r="B214" s="1176" t="s">
        <v>1367</v>
      </c>
      <c r="C214" s="1177">
        <v>0</v>
      </c>
      <c r="D214" s="1177">
        <v>0</v>
      </c>
      <c r="E214" s="1178">
        <v>0</v>
      </c>
      <c r="F214" s="1178">
        <v>0</v>
      </c>
      <c r="G214" s="1178">
        <v>0</v>
      </c>
      <c r="H214" s="1178">
        <v>0</v>
      </c>
      <c r="I214" s="1178">
        <f t="shared" si="3"/>
        <v>0</v>
      </c>
      <c r="J214" s="1178">
        <f t="shared" si="3"/>
        <v>0</v>
      </c>
    </row>
    <row r="215" spans="1:10" ht="25.5" customHeight="1" hidden="1">
      <c r="A215" s="1170" t="s">
        <v>1362</v>
      </c>
      <c r="B215" s="1176" t="s">
        <v>1369</v>
      </c>
      <c r="C215" s="1177">
        <v>0</v>
      </c>
      <c r="D215" s="1177">
        <v>0</v>
      </c>
      <c r="E215" s="1178">
        <v>0</v>
      </c>
      <c r="F215" s="1178">
        <v>0</v>
      </c>
      <c r="G215" s="1178">
        <v>0</v>
      </c>
      <c r="H215" s="1178">
        <v>0</v>
      </c>
      <c r="I215" s="1178">
        <f t="shared" si="3"/>
        <v>0</v>
      </c>
      <c r="J215" s="1178">
        <f t="shared" si="3"/>
        <v>0</v>
      </c>
    </row>
    <row r="216" spans="1:10" ht="38.25" customHeight="1" hidden="1">
      <c r="A216" s="1170" t="s">
        <v>1364</v>
      </c>
      <c r="B216" s="1176" t="s">
        <v>1371</v>
      </c>
      <c r="C216" s="1177">
        <v>0</v>
      </c>
      <c r="D216" s="1177">
        <v>0</v>
      </c>
      <c r="E216" s="1178">
        <v>0</v>
      </c>
      <c r="F216" s="1178">
        <v>0</v>
      </c>
      <c r="G216" s="1178">
        <v>0</v>
      </c>
      <c r="H216" s="1178">
        <v>0</v>
      </c>
      <c r="I216" s="1178">
        <f t="shared" si="3"/>
        <v>0</v>
      </c>
      <c r="J216" s="1178">
        <f t="shared" si="3"/>
        <v>0</v>
      </c>
    </row>
    <row r="217" spans="1:10" ht="51" customHeight="1">
      <c r="A217" s="1170" t="s">
        <v>1366</v>
      </c>
      <c r="B217" s="1179" t="s">
        <v>1373</v>
      </c>
      <c r="C217" s="1180">
        <v>0</v>
      </c>
      <c r="D217" s="1180">
        <v>22824544</v>
      </c>
      <c r="E217" s="1181">
        <v>0</v>
      </c>
      <c r="F217" s="1181">
        <v>0</v>
      </c>
      <c r="G217" s="1181">
        <v>0</v>
      </c>
      <c r="H217" s="1181">
        <v>141633</v>
      </c>
      <c r="I217" s="1181">
        <f t="shared" si="3"/>
        <v>0</v>
      </c>
      <c r="J217" s="1181">
        <f t="shared" si="3"/>
        <v>22966177</v>
      </c>
    </row>
    <row r="218" spans="1:10" ht="38.25" customHeight="1" hidden="1">
      <c r="A218" s="1170" t="s">
        <v>1368</v>
      </c>
      <c r="B218" s="1176" t="s">
        <v>1375</v>
      </c>
      <c r="C218" s="1177">
        <v>0</v>
      </c>
      <c r="D218" s="1177">
        <v>0</v>
      </c>
      <c r="E218" s="1178">
        <v>0</v>
      </c>
      <c r="F218" s="1178">
        <v>0</v>
      </c>
      <c r="G218" s="1178">
        <v>0</v>
      </c>
      <c r="H218" s="1178">
        <v>0</v>
      </c>
      <c r="I218" s="1178">
        <f t="shared" si="3"/>
        <v>0</v>
      </c>
      <c r="J218" s="1178">
        <f t="shared" si="3"/>
        <v>0</v>
      </c>
    </row>
    <row r="219" spans="1:10" ht="25.5" customHeight="1" hidden="1">
      <c r="A219" s="1170" t="s">
        <v>1370</v>
      </c>
      <c r="B219" s="1176" t="s">
        <v>1377</v>
      </c>
      <c r="C219" s="1177">
        <v>0</v>
      </c>
      <c r="D219" s="1177">
        <v>0</v>
      </c>
      <c r="E219" s="1178">
        <v>0</v>
      </c>
      <c r="F219" s="1178">
        <v>0</v>
      </c>
      <c r="G219" s="1178">
        <v>0</v>
      </c>
      <c r="H219" s="1178">
        <v>0</v>
      </c>
      <c r="I219" s="1178">
        <f t="shared" si="3"/>
        <v>0</v>
      </c>
      <c r="J219" s="1178">
        <f t="shared" si="3"/>
        <v>0</v>
      </c>
    </row>
    <row r="220" spans="1:10" ht="25.5" hidden="1">
      <c r="A220" s="1175" t="s">
        <v>1372</v>
      </c>
      <c r="B220" s="1176" t="s">
        <v>1379</v>
      </c>
      <c r="C220" s="1177">
        <v>0</v>
      </c>
      <c r="D220" s="1177">
        <v>0</v>
      </c>
      <c r="E220" s="1178">
        <v>0</v>
      </c>
      <c r="F220" s="1178">
        <v>0</v>
      </c>
      <c r="G220" s="1178">
        <v>0</v>
      </c>
      <c r="H220" s="1178">
        <v>0</v>
      </c>
      <c r="I220" s="1178">
        <f t="shared" si="3"/>
        <v>0</v>
      </c>
      <c r="J220" s="1178">
        <f t="shared" si="3"/>
        <v>0</v>
      </c>
    </row>
    <row r="221" spans="1:10" ht="25.5" customHeight="1" hidden="1">
      <c r="A221" s="1170" t="s">
        <v>1374</v>
      </c>
      <c r="B221" s="1176" t="s">
        <v>1381</v>
      </c>
      <c r="C221" s="1177">
        <v>0</v>
      </c>
      <c r="D221" s="1177">
        <v>0</v>
      </c>
      <c r="E221" s="1178">
        <v>0</v>
      </c>
      <c r="F221" s="1178">
        <v>0</v>
      </c>
      <c r="G221" s="1178">
        <v>0</v>
      </c>
      <c r="H221" s="1178">
        <v>0</v>
      </c>
      <c r="I221" s="1178">
        <f t="shared" si="3"/>
        <v>0</v>
      </c>
      <c r="J221" s="1178">
        <f t="shared" si="3"/>
        <v>0</v>
      </c>
    </row>
    <row r="222" spans="1:10" ht="38.25" customHeight="1" hidden="1">
      <c r="A222" s="1170" t="s">
        <v>1376</v>
      </c>
      <c r="B222" s="1176" t="s">
        <v>1383</v>
      </c>
      <c r="C222" s="1177">
        <v>0</v>
      </c>
      <c r="D222" s="1177">
        <v>0</v>
      </c>
      <c r="E222" s="1178">
        <v>0</v>
      </c>
      <c r="F222" s="1178">
        <v>0</v>
      </c>
      <c r="G222" s="1178">
        <v>0</v>
      </c>
      <c r="H222" s="1178">
        <v>0</v>
      </c>
      <c r="I222" s="1178">
        <f t="shared" si="3"/>
        <v>0</v>
      </c>
      <c r="J222" s="1178">
        <f t="shared" si="3"/>
        <v>0</v>
      </c>
    </row>
    <row r="223" spans="1:10" ht="25.5" customHeight="1" hidden="1">
      <c r="A223" s="1170" t="s">
        <v>1378</v>
      </c>
      <c r="B223" s="1176" t="s">
        <v>1385</v>
      </c>
      <c r="C223" s="1177">
        <v>0</v>
      </c>
      <c r="D223" s="1177">
        <v>0</v>
      </c>
      <c r="E223" s="1178">
        <v>0</v>
      </c>
      <c r="F223" s="1178">
        <v>0</v>
      </c>
      <c r="G223" s="1178">
        <v>0</v>
      </c>
      <c r="H223" s="1178">
        <v>0</v>
      </c>
      <c r="I223" s="1178">
        <f t="shared" si="3"/>
        <v>0</v>
      </c>
      <c r="J223" s="1178">
        <f t="shared" si="3"/>
        <v>0</v>
      </c>
    </row>
    <row r="224" spans="1:10" ht="25.5" customHeight="1" hidden="1">
      <c r="A224" s="1170" t="s">
        <v>1380</v>
      </c>
      <c r="B224" s="1176" t="s">
        <v>1387</v>
      </c>
      <c r="C224" s="1177">
        <v>0</v>
      </c>
      <c r="D224" s="1177">
        <v>0</v>
      </c>
      <c r="E224" s="1178">
        <v>0</v>
      </c>
      <c r="F224" s="1178">
        <v>0</v>
      </c>
      <c r="G224" s="1178">
        <v>0</v>
      </c>
      <c r="H224" s="1178">
        <v>0</v>
      </c>
      <c r="I224" s="1178">
        <f t="shared" si="3"/>
        <v>0</v>
      </c>
      <c r="J224" s="1178">
        <f t="shared" si="3"/>
        <v>0</v>
      </c>
    </row>
    <row r="225" spans="1:10" ht="25.5" hidden="1">
      <c r="A225" s="1170" t="s">
        <v>1382</v>
      </c>
      <c r="B225" s="1176" t="s">
        <v>1389</v>
      </c>
      <c r="C225" s="1177">
        <v>0</v>
      </c>
      <c r="D225" s="1177">
        <v>0</v>
      </c>
      <c r="E225" s="1178">
        <v>0</v>
      </c>
      <c r="F225" s="1178">
        <v>0</v>
      </c>
      <c r="G225" s="1178">
        <v>0</v>
      </c>
      <c r="H225" s="1178">
        <v>0</v>
      </c>
      <c r="I225" s="1178">
        <f t="shared" si="3"/>
        <v>0</v>
      </c>
      <c r="J225" s="1178">
        <f t="shared" si="3"/>
        <v>0</v>
      </c>
    </row>
    <row r="226" spans="1:10" ht="51" customHeight="1" hidden="1">
      <c r="A226" s="1170" t="s">
        <v>1384</v>
      </c>
      <c r="B226" s="1176" t="s">
        <v>1391</v>
      </c>
      <c r="C226" s="1177">
        <v>0</v>
      </c>
      <c r="D226" s="1177">
        <v>0</v>
      </c>
      <c r="E226" s="1178">
        <v>0</v>
      </c>
      <c r="F226" s="1178">
        <v>0</v>
      </c>
      <c r="G226" s="1178">
        <v>0</v>
      </c>
      <c r="H226" s="1178">
        <v>0</v>
      </c>
      <c r="I226" s="1178">
        <f t="shared" si="3"/>
        <v>0</v>
      </c>
      <c r="J226" s="1178">
        <f t="shared" si="3"/>
        <v>0</v>
      </c>
    </row>
    <row r="227" spans="1:10" ht="38.25" customHeight="1" hidden="1">
      <c r="A227" s="1170" t="s">
        <v>1386</v>
      </c>
      <c r="B227" s="1176" t="s">
        <v>1393</v>
      </c>
      <c r="C227" s="1177">
        <v>0</v>
      </c>
      <c r="D227" s="1177">
        <v>0</v>
      </c>
      <c r="E227" s="1178">
        <v>0</v>
      </c>
      <c r="F227" s="1178">
        <v>0</v>
      </c>
      <c r="G227" s="1178">
        <v>0</v>
      </c>
      <c r="H227" s="1178">
        <v>0</v>
      </c>
      <c r="I227" s="1178">
        <f t="shared" si="3"/>
        <v>0</v>
      </c>
      <c r="J227" s="1178">
        <f t="shared" si="3"/>
        <v>0</v>
      </c>
    </row>
    <row r="228" spans="1:10" ht="25.5" customHeight="1" hidden="1">
      <c r="A228" s="1170" t="s">
        <v>1388</v>
      </c>
      <c r="B228" s="1176" t="s">
        <v>1395</v>
      </c>
      <c r="C228" s="1177">
        <v>0</v>
      </c>
      <c r="D228" s="1177">
        <v>0</v>
      </c>
      <c r="E228" s="1178">
        <v>0</v>
      </c>
      <c r="F228" s="1178">
        <v>0</v>
      </c>
      <c r="G228" s="1178">
        <v>0</v>
      </c>
      <c r="H228" s="1178">
        <v>0</v>
      </c>
      <c r="I228" s="1178">
        <f t="shared" si="3"/>
        <v>0</v>
      </c>
      <c r="J228" s="1178">
        <f t="shared" si="3"/>
        <v>0</v>
      </c>
    </row>
    <row r="229" spans="1:10" ht="25.5" customHeight="1" hidden="1">
      <c r="A229" s="1170" t="s">
        <v>1390</v>
      </c>
      <c r="B229" s="1176" t="s">
        <v>1397</v>
      </c>
      <c r="C229" s="1177">
        <v>0</v>
      </c>
      <c r="D229" s="1177">
        <v>0</v>
      </c>
      <c r="E229" s="1178">
        <v>0</v>
      </c>
      <c r="F229" s="1178">
        <v>0</v>
      </c>
      <c r="G229" s="1178">
        <v>0</v>
      </c>
      <c r="H229" s="1178">
        <v>0</v>
      </c>
      <c r="I229" s="1178">
        <f t="shared" si="3"/>
        <v>0</v>
      </c>
      <c r="J229" s="1178">
        <f t="shared" si="3"/>
        <v>0</v>
      </c>
    </row>
    <row r="230" spans="1:10" ht="38.25" customHeight="1">
      <c r="A230" s="1170" t="s">
        <v>1392</v>
      </c>
      <c r="B230" s="1176" t="s">
        <v>1399</v>
      </c>
      <c r="C230" s="1177">
        <v>15055921</v>
      </c>
      <c r="D230" s="1177">
        <v>12580358</v>
      </c>
      <c r="E230" s="1178">
        <v>0</v>
      </c>
      <c r="F230" s="1178">
        <v>0</v>
      </c>
      <c r="G230" s="1178">
        <v>0</v>
      </c>
      <c r="H230" s="1178">
        <v>0</v>
      </c>
      <c r="I230" s="1178">
        <f t="shared" si="3"/>
        <v>15055921</v>
      </c>
      <c r="J230" s="1178">
        <f t="shared" si="3"/>
        <v>12580358</v>
      </c>
    </row>
    <row r="231" spans="1:10" ht="51" customHeight="1">
      <c r="A231" s="1170" t="s">
        <v>1394</v>
      </c>
      <c r="B231" s="1176" t="s">
        <v>1401</v>
      </c>
      <c r="C231" s="1177">
        <v>5291541</v>
      </c>
      <c r="D231" s="1177">
        <v>2267801</v>
      </c>
      <c r="E231" s="1178">
        <v>0</v>
      </c>
      <c r="F231" s="1178">
        <v>0</v>
      </c>
      <c r="G231" s="1178">
        <v>0</v>
      </c>
      <c r="H231" s="1178">
        <v>0</v>
      </c>
      <c r="I231" s="1178">
        <f t="shared" si="3"/>
        <v>5291541</v>
      </c>
      <c r="J231" s="1178">
        <f t="shared" si="3"/>
        <v>2267801</v>
      </c>
    </row>
    <row r="232" spans="1:10" ht="38.25" customHeight="1" hidden="1">
      <c r="A232" s="1170" t="s">
        <v>1396</v>
      </c>
      <c r="B232" s="1176" t="s">
        <v>1403</v>
      </c>
      <c r="C232" s="1177">
        <v>0</v>
      </c>
      <c r="D232" s="1177">
        <v>0</v>
      </c>
      <c r="E232" s="1178">
        <v>0</v>
      </c>
      <c r="F232" s="1178">
        <v>0</v>
      </c>
      <c r="G232" s="1178">
        <v>0</v>
      </c>
      <c r="H232" s="1178">
        <v>0</v>
      </c>
      <c r="I232" s="1178">
        <f t="shared" si="3"/>
        <v>0</v>
      </c>
      <c r="J232" s="1178">
        <f t="shared" si="3"/>
        <v>0</v>
      </c>
    </row>
    <row r="233" spans="1:10" ht="38.25" hidden="1">
      <c r="A233" s="1170" t="s">
        <v>1398</v>
      </c>
      <c r="B233" s="1176" t="s">
        <v>1405</v>
      </c>
      <c r="C233" s="1177">
        <v>0</v>
      </c>
      <c r="D233" s="1177">
        <v>0</v>
      </c>
      <c r="E233" s="1178">
        <v>0</v>
      </c>
      <c r="F233" s="1178">
        <v>0</v>
      </c>
      <c r="G233" s="1178">
        <v>0</v>
      </c>
      <c r="H233" s="1178">
        <v>0</v>
      </c>
      <c r="I233" s="1178">
        <f t="shared" si="3"/>
        <v>0</v>
      </c>
      <c r="J233" s="1178">
        <f t="shared" si="3"/>
        <v>0</v>
      </c>
    </row>
    <row r="234" spans="1:10" ht="38.25" hidden="1">
      <c r="A234" s="1170" t="s">
        <v>1400</v>
      </c>
      <c r="B234" s="1176" t="s">
        <v>1407</v>
      </c>
      <c r="C234" s="1177">
        <v>0</v>
      </c>
      <c r="D234" s="1177">
        <v>0</v>
      </c>
      <c r="E234" s="1178">
        <v>0</v>
      </c>
      <c r="F234" s="1178">
        <v>0</v>
      </c>
      <c r="G234" s="1178">
        <v>0</v>
      </c>
      <c r="H234" s="1178">
        <v>0</v>
      </c>
      <c r="I234" s="1178">
        <f t="shared" si="3"/>
        <v>0</v>
      </c>
      <c r="J234" s="1178">
        <f t="shared" si="3"/>
        <v>0</v>
      </c>
    </row>
    <row r="235" spans="1:10" ht="38.25" customHeight="1">
      <c r="A235" s="1170" t="s">
        <v>1402</v>
      </c>
      <c r="B235" s="1176" t="s">
        <v>1409</v>
      </c>
      <c r="C235" s="1177">
        <v>9764380</v>
      </c>
      <c r="D235" s="1177">
        <v>10312557</v>
      </c>
      <c r="E235" s="1178">
        <v>0</v>
      </c>
      <c r="F235" s="1178">
        <v>0</v>
      </c>
      <c r="G235" s="1178">
        <v>0</v>
      </c>
      <c r="H235" s="1178">
        <v>0</v>
      </c>
      <c r="I235" s="1178">
        <f t="shared" si="3"/>
        <v>9764380</v>
      </c>
      <c r="J235" s="1178">
        <f t="shared" si="3"/>
        <v>10312557</v>
      </c>
    </row>
    <row r="236" spans="1:10" ht="38.25" customHeight="1" hidden="1">
      <c r="A236" s="1170" t="s">
        <v>1404</v>
      </c>
      <c r="B236" s="1176" t="s">
        <v>1411</v>
      </c>
      <c r="C236" s="1177">
        <v>0</v>
      </c>
      <c r="D236" s="1177">
        <v>0</v>
      </c>
      <c r="E236" s="1178">
        <v>0</v>
      </c>
      <c r="F236" s="1178">
        <v>0</v>
      </c>
      <c r="G236" s="1178">
        <v>0</v>
      </c>
      <c r="H236" s="1178">
        <v>0</v>
      </c>
      <c r="I236" s="1178">
        <f t="shared" si="3"/>
        <v>0</v>
      </c>
      <c r="J236" s="1178">
        <f t="shared" si="3"/>
        <v>0</v>
      </c>
    </row>
    <row r="237" spans="1:10" ht="38.25" customHeight="1" hidden="1">
      <c r="A237" s="1170" t="s">
        <v>1406</v>
      </c>
      <c r="B237" s="1176" t="s">
        <v>1413</v>
      </c>
      <c r="C237" s="1177">
        <v>0</v>
      </c>
      <c r="D237" s="1177">
        <v>0</v>
      </c>
      <c r="E237" s="1178">
        <v>0</v>
      </c>
      <c r="F237" s="1178">
        <v>0</v>
      </c>
      <c r="G237" s="1178">
        <v>0</v>
      </c>
      <c r="H237" s="1178">
        <v>0</v>
      </c>
      <c r="I237" s="1178">
        <f t="shared" si="3"/>
        <v>0</v>
      </c>
      <c r="J237" s="1178">
        <f t="shared" si="3"/>
        <v>0</v>
      </c>
    </row>
    <row r="238" spans="1:10" ht="51" hidden="1">
      <c r="A238" s="1170" t="s">
        <v>1408</v>
      </c>
      <c r="B238" s="1176" t="s">
        <v>1415</v>
      </c>
      <c r="C238" s="1177">
        <v>0</v>
      </c>
      <c r="D238" s="1177">
        <v>0</v>
      </c>
      <c r="E238" s="1178">
        <v>0</v>
      </c>
      <c r="F238" s="1178">
        <v>0</v>
      </c>
      <c r="G238" s="1178">
        <v>0</v>
      </c>
      <c r="H238" s="1178">
        <v>0</v>
      </c>
      <c r="I238" s="1178">
        <f t="shared" si="3"/>
        <v>0</v>
      </c>
      <c r="J238" s="1178">
        <f t="shared" si="3"/>
        <v>0</v>
      </c>
    </row>
    <row r="239" spans="1:10" ht="38.25" customHeight="1" hidden="1">
      <c r="A239" s="1170" t="s">
        <v>1410</v>
      </c>
      <c r="B239" s="1176" t="s">
        <v>1417</v>
      </c>
      <c r="C239" s="1177">
        <v>0</v>
      </c>
      <c r="D239" s="1177">
        <v>0</v>
      </c>
      <c r="E239" s="1178">
        <v>0</v>
      </c>
      <c r="F239" s="1178">
        <v>0</v>
      </c>
      <c r="G239" s="1178">
        <v>0</v>
      </c>
      <c r="H239" s="1178">
        <v>0</v>
      </c>
      <c r="I239" s="1178">
        <f t="shared" si="3"/>
        <v>0</v>
      </c>
      <c r="J239" s="1178">
        <f t="shared" si="3"/>
        <v>0</v>
      </c>
    </row>
    <row r="240" spans="1:10" ht="38.25" customHeight="1" hidden="1">
      <c r="A240" s="1170" t="s">
        <v>1412</v>
      </c>
      <c r="B240" s="1176" t="s">
        <v>1419</v>
      </c>
      <c r="C240" s="1177">
        <v>0</v>
      </c>
      <c r="D240" s="1177">
        <v>0</v>
      </c>
      <c r="E240" s="1178">
        <v>0</v>
      </c>
      <c r="F240" s="1178">
        <v>0</v>
      </c>
      <c r="G240" s="1178">
        <v>0</v>
      </c>
      <c r="H240" s="1178">
        <v>0</v>
      </c>
      <c r="I240" s="1178">
        <f t="shared" si="3"/>
        <v>0</v>
      </c>
      <c r="J240" s="1178">
        <f t="shared" si="3"/>
        <v>0</v>
      </c>
    </row>
    <row r="241" spans="1:10" ht="51" customHeight="1">
      <c r="A241" s="1170" t="s">
        <v>1414</v>
      </c>
      <c r="B241" s="1179" t="s">
        <v>1421</v>
      </c>
      <c r="C241" s="1180">
        <v>15055921</v>
      </c>
      <c r="D241" s="1180">
        <v>12580358</v>
      </c>
      <c r="E241" s="1181">
        <v>0</v>
      </c>
      <c r="F241" s="1181">
        <v>0</v>
      </c>
      <c r="G241" s="1181">
        <v>0</v>
      </c>
      <c r="H241" s="1181">
        <v>0</v>
      </c>
      <c r="I241" s="1181">
        <f t="shared" si="3"/>
        <v>15055921</v>
      </c>
      <c r="J241" s="1181">
        <f t="shared" si="3"/>
        <v>12580358</v>
      </c>
    </row>
    <row r="242" spans="1:10" ht="51" customHeight="1" hidden="1">
      <c r="A242" s="1170" t="s">
        <v>1416</v>
      </c>
      <c r="B242" s="1176" t="s">
        <v>1423</v>
      </c>
      <c r="C242" s="1177">
        <v>0</v>
      </c>
      <c r="D242" s="1177">
        <v>0</v>
      </c>
      <c r="E242" s="1178">
        <v>0</v>
      </c>
      <c r="F242" s="1178">
        <v>0</v>
      </c>
      <c r="G242" s="1178">
        <v>0</v>
      </c>
      <c r="H242" s="1178">
        <v>0</v>
      </c>
      <c r="I242" s="1178">
        <f t="shared" si="3"/>
        <v>0</v>
      </c>
      <c r="J242" s="1178">
        <f t="shared" si="3"/>
        <v>0</v>
      </c>
    </row>
    <row r="243" spans="1:10" ht="25.5" customHeight="1" hidden="1">
      <c r="A243" s="1170" t="s">
        <v>1418</v>
      </c>
      <c r="B243" s="1176" t="s">
        <v>1425</v>
      </c>
      <c r="C243" s="1177">
        <v>0</v>
      </c>
      <c r="D243" s="1177">
        <v>0</v>
      </c>
      <c r="E243" s="1178">
        <v>0</v>
      </c>
      <c r="F243" s="1178">
        <v>0</v>
      </c>
      <c r="G243" s="1178">
        <v>0</v>
      </c>
      <c r="H243" s="1178">
        <v>0</v>
      </c>
      <c r="I243" s="1178">
        <f t="shared" si="3"/>
        <v>0</v>
      </c>
      <c r="J243" s="1178">
        <f t="shared" si="3"/>
        <v>0</v>
      </c>
    </row>
    <row r="244" spans="1:10" ht="25.5">
      <c r="A244" s="1175" t="s">
        <v>1420</v>
      </c>
      <c r="B244" s="1176" t="s">
        <v>1427</v>
      </c>
      <c r="C244" s="1177">
        <v>175422</v>
      </c>
      <c r="D244" s="1177">
        <v>271336</v>
      </c>
      <c r="E244" s="1178">
        <v>0</v>
      </c>
      <c r="F244" s="1178">
        <v>0</v>
      </c>
      <c r="G244" s="1178">
        <v>0</v>
      </c>
      <c r="H244" s="1178">
        <v>0</v>
      </c>
      <c r="I244" s="1178">
        <f t="shared" si="3"/>
        <v>175422</v>
      </c>
      <c r="J244" s="1178">
        <f t="shared" si="3"/>
        <v>271336</v>
      </c>
    </row>
    <row r="245" spans="1:10" ht="12.75" customHeight="1" hidden="1">
      <c r="A245" s="1170" t="s">
        <v>1422</v>
      </c>
      <c r="B245" s="1176" t="s">
        <v>1429</v>
      </c>
      <c r="C245" s="1177">
        <v>0</v>
      </c>
      <c r="D245" s="1177">
        <v>0</v>
      </c>
      <c r="E245" s="1178">
        <v>0</v>
      </c>
      <c r="F245" s="1178">
        <v>0</v>
      </c>
      <c r="G245" s="1178">
        <v>0</v>
      </c>
      <c r="H245" s="1178">
        <v>0</v>
      </c>
      <c r="I245" s="1178">
        <f t="shared" si="3"/>
        <v>0</v>
      </c>
      <c r="J245" s="1178">
        <f t="shared" si="3"/>
        <v>0</v>
      </c>
    </row>
    <row r="246" spans="1:10" ht="25.5" customHeight="1" hidden="1">
      <c r="A246" s="1170" t="s">
        <v>1424</v>
      </c>
      <c r="B246" s="1176" t="s">
        <v>1431</v>
      </c>
      <c r="C246" s="1177">
        <v>0</v>
      </c>
      <c r="D246" s="1177">
        <v>0</v>
      </c>
      <c r="E246" s="1178">
        <v>0</v>
      </c>
      <c r="F246" s="1178">
        <v>0</v>
      </c>
      <c r="G246" s="1178">
        <v>0</v>
      </c>
      <c r="H246" s="1178">
        <v>0</v>
      </c>
      <c r="I246" s="1178">
        <f t="shared" si="3"/>
        <v>0</v>
      </c>
      <c r="J246" s="1178">
        <f t="shared" si="3"/>
        <v>0</v>
      </c>
    </row>
    <row r="247" spans="1:10" ht="38.25" hidden="1">
      <c r="A247" s="1170" t="s">
        <v>1426</v>
      </c>
      <c r="B247" s="1176" t="s">
        <v>1433</v>
      </c>
      <c r="C247" s="1177">
        <v>0</v>
      </c>
      <c r="D247" s="1177">
        <v>0</v>
      </c>
      <c r="E247" s="1178">
        <v>0</v>
      </c>
      <c r="F247" s="1178">
        <v>0</v>
      </c>
      <c r="G247" s="1178">
        <v>0</v>
      </c>
      <c r="H247" s="1178">
        <v>0</v>
      </c>
      <c r="I247" s="1178">
        <f t="shared" si="3"/>
        <v>0</v>
      </c>
      <c r="J247" s="1178">
        <f t="shared" si="3"/>
        <v>0</v>
      </c>
    </row>
    <row r="248" spans="1:10" ht="12.75" customHeight="1" hidden="1">
      <c r="A248" s="1170" t="s">
        <v>1428</v>
      </c>
      <c r="B248" s="1176" t="s">
        <v>1436</v>
      </c>
      <c r="C248" s="1177">
        <v>0</v>
      </c>
      <c r="D248" s="1177">
        <v>0</v>
      </c>
      <c r="E248" s="1178">
        <v>0</v>
      </c>
      <c r="F248" s="1178">
        <v>0</v>
      </c>
      <c r="G248" s="1178">
        <v>0</v>
      </c>
      <c r="H248" s="1178">
        <v>0</v>
      </c>
      <c r="I248" s="1178">
        <f t="shared" si="3"/>
        <v>0</v>
      </c>
      <c r="J248" s="1178">
        <f t="shared" si="3"/>
        <v>0</v>
      </c>
    </row>
    <row r="249" spans="1:10" ht="38.25" customHeight="1" hidden="1">
      <c r="A249" s="1170" t="s">
        <v>1430</v>
      </c>
      <c r="B249" s="1176" t="s">
        <v>1438</v>
      </c>
      <c r="C249" s="1177">
        <v>0</v>
      </c>
      <c r="D249" s="1177">
        <v>0</v>
      </c>
      <c r="E249" s="1178">
        <v>0</v>
      </c>
      <c r="F249" s="1178">
        <v>0</v>
      </c>
      <c r="G249" s="1178">
        <v>0</v>
      </c>
      <c r="H249" s="1178">
        <v>0</v>
      </c>
      <c r="I249" s="1178">
        <f t="shared" si="3"/>
        <v>0</v>
      </c>
      <c r="J249" s="1178">
        <f t="shared" si="3"/>
        <v>0</v>
      </c>
    </row>
    <row r="250" spans="1:10" ht="38.25" customHeight="1" hidden="1">
      <c r="A250" s="1170" t="s">
        <v>1432</v>
      </c>
      <c r="B250" s="1176" t="s">
        <v>1440</v>
      </c>
      <c r="C250" s="1177">
        <v>0</v>
      </c>
      <c r="D250" s="1177">
        <v>0</v>
      </c>
      <c r="E250" s="1178">
        <v>0</v>
      </c>
      <c r="F250" s="1178">
        <v>0</v>
      </c>
      <c r="G250" s="1178">
        <v>0</v>
      </c>
      <c r="H250" s="1178">
        <v>0</v>
      </c>
      <c r="I250" s="1178">
        <f t="shared" si="3"/>
        <v>0</v>
      </c>
      <c r="J250" s="1178">
        <f t="shared" si="3"/>
        <v>0</v>
      </c>
    </row>
    <row r="251" spans="1:10" ht="38.25" customHeight="1">
      <c r="A251" s="1170" t="s">
        <v>1434</v>
      </c>
      <c r="B251" s="1179" t="s">
        <v>1442</v>
      </c>
      <c r="C251" s="1180">
        <v>175422</v>
      </c>
      <c r="D251" s="1180">
        <v>271336</v>
      </c>
      <c r="E251" s="1181">
        <v>0</v>
      </c>
      <c r="F251" s="1181">
        <v>0</v>
      </c>
      <c r="G251" s="1181">
        <v>0</v>
      </c>
      <c r="H251" s="1181">
        <v>0</v>
      </c>
      <c r="I251" s="1181">
        <f t="shared" si="3"/>
        <v>175422</v>
      </c>
      <c r="J251" s="1181">
        <f t="shared" si="3"/>
        <v>271336</v>
      </c>
    </row>
    <row r="252" spans="1:10" ht="25.5" customHeight="1">
      <c r="A252" s="1170" t="s">
        <v>1435</v>
      </c>
      <c r="B252" s="1179" t="s">
        <v>1444</v>
      </c>
      <c r="C252" s="1180">
        <v>15231343</v>
      </c>
      <c r="D252" s="1180">
        <v>35676238</v>
      </c>
      <c r="E252" s="1181">
        <v>0</v>
      </c>
      <c r="F252" s="1181">
        <v>0</v>
      </c>
      <c r="G252" s="1181">
        <v>0</v>
      </c>
      <c r="H252" s="1181">
        <v>141633</v>
      </c>
      <c r="I252" s="1181">
        <f t="shared" si="3"/>
        <v>15231343</v>
      </c>
      <c r="J252" s="1181">
        <f t="shared" si="3"/>
        <v>35817871</v>
      </c>
    </row>
    <row r="253" spans="1:10" ht="25.5" customHeight="1" hidden="1">
      <c r="A253" s="1170" t="s">
        <v>1437</v>
      </c>
      <c r="B253" s="1179" t="s">
        <v>879</v>
      </c>
      <c r="C253" s="1180">
        <v>0</v>
      </c>
      <c r="D253" s="1180">
        <v>0</v>
      </c>
      <c r="E253" s="1181">
        <v>0</v>
      </c>
      <c r="F253" s="1181">
        <v>0</v>
      </c>
      <c r="G253" s="1181">
        <v>0</v>
      </c>
      <c r="H253" s="1181">
        <v>0</v>
      </c>
      <c r="I253" s="1181">
        <f t="shared" si="3"/>
        <v>0</v>
      </c>
      <c r="J253" s="1181">
        <f t="shared" si="3"/>
        <v>0</v>
      </c>
    </row>
    <row r="254" spans="1:10" ht="25.5" customHeight="1">
      <c r="A254" s="1170" t="s">
        <v>1439</v>
      </c>
      <c r="B254" s="1176" t="s">
        <v>1447</v>
      </c>
      <c r="C254" s="1177">
        <v>0</v>
      </c>
      <c r="D254" s="1177">
        <v>62940</v>
      </c>
      <c r="E254" s="1178">
        <v>0</v>
      </c>
      <c r="F254" s="1178">
        <v>0</v>
      </c>
      <c r="G254" s="1178">
        <v>0</v>
      </c>
      <c r="H254" s="1178">
        <v>0</v>
      </c>
      <c r="I254" s="1178">
        <f t="shared" si="3"/>
        <v>0</v>
      </c>
      <c r="J254" s="1178">
        <f t="shared" si="3"/>
        <v>62940</v>
      </c>
    </row>
    <row r="255" spans="1:10" ht="25.5">
      <c r="A255" s="1175" t="s">
        <v>1441</v>
      </c>
      <c r="B255" s="1176" t="s">
        <v>1448</v>
      </c>
      <c r="C255" s="1177">
        <v>3320049</v>
      </c>
      <c r="D255" s="1177">
        <v>4424552</v>
      </c>
      <c r="E255" s="1178">
        <v>6734661</v>
      </c>
      <c r="F255" s="1178">
        <v>6117836</v>
      </c>
      <c r="G255" s="1178">
        <v>6437499</v>
      </c>
      <c r="H255" s="1178">
        <v>7121756</v>
      </c>
      <c r="I255" s="1178">
        <f t="shared" si="3"/>
        <v>16492209</v>
      </c>
      <c r="J255" s="1178">
        <f t="shared" si="3"/>
        <v>17664144</v>
      </c>
    </row>
    <row r="256" spans="1:10" ht="12.75">
      <c r="A256" s="1175" t="s">
        <v>1443</v>
      </c>
      <c r="B256" s="1176" t="s">
        <v>1449</v>
      </c>
      <c r="C256" s="1177">
        <v>198759</v>
      </c>
      <c r="D256" s="1177">
        <v>195759</v>
      </c>
      <c r="E256" s="1178">
        <v>0</v>
      </c>
      <c r="F256" s="1178">
        <v>0</v>
      </c>
      <c r="G256" s="1178">
        <v>0</v>
      </c>
      <c r="H256" s="1178">
        <v>0</v>
      </c>
      <c r="I256" s="1178">
        <f t="shared" si="3"/>
        <v>198759</v>
      </c>
      <c r="J256" s="1178">
        <f t="shared" si="3"/>
        <v>195759</v>
      </c>
    </row>
    <row r="257" spans="1:10" ht="25.5" customHeight="1">
      <c r="A257" s="1175" t="s">
        <v>1445</v>
      </c>
      <c r="B257" s="1179" t="s">
        <v>1450</v>
      </c>
      <c r="C257" s="1180">
        <v>3518808</v>
      </c>
      <c r="D257" s="1180">
        <v>4683251</v>
      </c>
      <c r="E257" s="1181">
        <v>6734661</v>
      </c>
      <c r="F257" s="1181">
        <v>6117836</v>
      </c>
      <c r="G257" s="1181">
        <v>6437499</v>
      </c>
      <c r="H257" s="1181">
        <v>7121756</v>
      </c>
      <c r="I257" s="1181">
        <f t="shared" si="3"/>
        <v>16690968</v>
      </c>
      <c r="J257" s="1181">
        <f t="shared" si="3"/>
        <v>17922843</v>
      </c>
    </row>
    <row r="258" spans="1:10" ht="25.5" customHeight="1">
      <c r="A258" s="1170" t="s">
        <v>1446</v>
      </c>
      <c r="B258" s="1179" t="s">
        <v>1451</v>
      </c>
      <c r="C258" s="1180">
        <v>1662282762</v>
      </c>
      <c r="D258" s="1180">
        <v>1742715364</v>
      </c>
      <c r="E258" s="1181">
        <v>1210437</v>
      </c>
      <c r="F258" s="1181">
        <v>985438</v>
      </c>
      <c r="G258" s="1181">
        <v>5466392</v>
      </c>
      <c r="H258" s="1181">
        <v>6428931</v>
      </c>
      <c r="I258" s="1181">
        <f t="shared" si="3"/>
        <v>1668959591</v>
      </c>
      <c r="J258" s="1181">
        <f t="shared" si="3"/>
        <v>1750129733</v>
      </c>
    </row>
  </sheetData>
  <sheetProtection/>
  <mergeCells count="8">
    <mergeCell ref="A1:I1"/>
    <mergeCell ref="A2:I2"/>
    <mergeCell ref="A3:I3"/>
    <mergeCell ref="A6:I6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7"/>
  </sheetPr>
  <dimension ref="A1:IV92"/>
  <sheetViews>
    <sheetView zoomScale="90" zoomScaleNormal="90" workbookViewId="0" topLeftCell="A1">
      <selection activeCell="A1" sqref="A1:D1"/>
    </sheetView>
  </sheetViews>
  <sheetFormatPr defaultColWidth="60.421875" defaultRowHeight="12.75"/>
  <cols>
    <col min="1" max="1" width="60.421875" style="1067" customWidth="1"/>
    <col min="2" max="2" width="5.57421875" style="1067" customWidth="1"/>
    <col min="3" max="3" width="13.140625" style="1067" customWidth="1"/>
    <col min="4" max="4" width="14.8515625" style="1067" customWidth="1"/>
    <col min="5" max="5" width="12.57421875" style="1103" customWidth="1"/>
    <col min="6" max="6" width="22.8515625" style="1103" customWidth="1"/>
    <col min="7" max="255" width="10.7109375" style="1103" customWidth="1"/>
    <col min="256" max="16384" width="60.421875" style="1103" customWidth="1"/>
  </cols>
  <sheetData>
    <row r="1" spans="1:256" ht="49.5" customHeight="1">
      <c r="A1" s="1539" t="s">
        <v>1453</v>
      </c>
      <c r="B1" s="1539"/>
      <c r="C1" s="1539"/>
      <c r="D1" s="1539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6"/>
      <c r="AL1" s="1046"/>
      <c r="AM1" s="1046"/>
      <c r="AN1" s="1046"/>
      <c r="AO1" s="1046"/>
      <c r="AP1" s="1046"/>
      <c r="AQ1" s="1046"/>
      <c r="AR1" s="1046"/>
      <c r="AS1" s="1046"/>
      <c r="AT1" s="1046"/>
      <c r="AU1" s="1046"/>
      <c r="AV1" s="1046"/>
      <c r="AW1" s="1046"/>
      <c r="AX1" s="1046"/>
      <c r="AY1" s="1046"/>
      <c r="AZ1" s="1046"/>
      <c r="BA1" s="1046"/>
      <c r="BB1" s="1046"/>
      <c r="BC1" s="1046"/>
      <c r="BD1" s="1046"/>
      <c r="BE1" s="1046"/>
      <c r="BF1" s="1046"/>
      <c r="BG1" s="1046"/>
      <c r="BH1" s="1046"/>
      <c r="BI1" s="1046"/>
      <c r="BJ1" s="1046"/>
      <c r="BK1" s="1046"/>
      <c r="BL1" s="1046"/>
      <c r="BM1" s="1046"/>
      <c r="BN1" s="1046"/>
      <c r="BO1" s="1046"/>
      <c r="BP1" s="1046"/>
      <c r="BQ1" s="1046"/>
      <c r="BR1" s="1046"/>
      <c r="BS1" s="1046"/>
      <c r="BT1" s="1046"/>
      <c r="BU1" s="1046"/>
      <c r="BV1" s="1046"/>
      <c r="BW1" s="1046"/>
      <c r="BX1" s="1046"/>
      <c r="BY1" s="1046"/>
      <c r="BZ1" s="1046"/>
      <c r="CA1" s="1046"/>
      <c r="CB1" s="1046"/>
      <c r="CC1" s="1046"/>
      <c r="CD1" s="1046"/>
      <c r="CE1" s="1046"/>
      <c r="CF1" s="1046"/>
      <c r="CG1" s="1046"/>
      <c r="CH1" s="1046"/>
      <c r="CI1" s="1046"/>
      <c r="CJ1" s="1046"/>
      <c r="CK1" s="1046"/>
      <c r="CL1" s="1046"/>
      <c r="CM1" s="1046"/>
      <c r="CN1" s="1046"/>
      <c r="CO1" s="1046"/>
      <c r="CP1" s="1046"/>
      <c r="CQ1" s="1046"/>
      <c r="CR1" s="1046"/>
      <c r="CS1" s="1046"/>
      <c r="CT1" s="1046"/>
      <c r="CU1" s="1046"/>
      <c r="CV1" s="1046"/>
      <c r="CW1" s="1046"/>
      <c r="CX1" s="1046"/>
      <c r="CY1" s="1046"/>
      <c r="CZ1" s="1046"/>
      <c r="DA1" s="1046"/>
      <c r="DB1" s="1046"/>
      <c r="DC1" s="1046"/>
      <c r="DD1" s="1046"/>
      <c r="DE1" s="1046"/>
      <c r="DF1" s="1046"/>
      <c r="DG1" s="1046"/>
      <c r="DH1" s="1046"/>
      <c r="DI1" s="1046"/>
      <c r="DJ1" s="1046"/>
      <c r="DK1" s="1046"/>
      <c r="DL1" s="1046"/>
      <c r="DM1" s="1046"/>
      <c r="DN1" s="1046"/>
      <c r="DO1" s="1046"/>
      <c r="DP1" s="1046"/>
      <c r="DQ1" s="1046"/>
      <c r="DR1" s="1046"/>
      <c r="DS1" s="1046"/>
      <c r="DT1" s="1046"/>
      <c r="DU1" s="1046"/>
      <c r="DV1" s="1046"/>
      <c r="DW1" s="1046"/>
      <c r="DX1" s="1046"/>
      <c r="DY1" s="1046"/>
      <c r="DZ1" s="1046"/>
      <c r="EA1" s="1046"/>
      <c r="EB1" s="1046"/>
      <c r="EC1" s="1046"/>
      <c r="ED1" s="1046"/>
      <c r="EE1" s="1046"/>
      <c r="EF1" s="1046"/>
      <c r="EG1" s="1046"/>
      <c r="EH1" s="1046"/>
      <c r="EI1" s="1046"/>
      <c r="EJ1" s="1046"/>
      <c r="EK1" s="1046"/>
      <c r="EL1" s="1046"/>
      <c r="EM1" s="1046"/>
      <c r="EN1" s="1046"/>
      <c r="EO1" s="1046"/>
      <c r="EP1" s="1046"/>
      <c r="EQ1" s="1046"/>
      <c r="ER1" s="1046"/>
      <c r="ES1" s="1046"/>
      <c r="ET1" s="1046"/>
      <c r="EU1" s="1046"/>
      <c r="EV1" s="1046"/>
      <c r="EW1" s="1046"/>
      <c r="EX1" s="1046"/>
      <c r="EY1" s="1046"/>
      <c r="EZ1" s="1046"/>
      <c r="FA1" s="1046"/>
      <c r="FB1" s="1046"/>
      <c r="FC1" s="1046"/>
      <c r="FD1" s="1046"/>
      <c r="FE1" s="1046"/>
      <c r="FF1" s="1046"/>
      <c r="FG1" s="1046"/>
      <c r="FH1" s="1046"/>
      <c r="FI1" s="1046"/>
      <c r="FJ1" s="1046"/>
      <c r="FK1" s="1046"/>
      <c r="FL1" s="1046"/>
      <c r="FM1" s="1046"/>
      <c r="FN1" s="1046"/>
      <c r="FO1" s="1046"/>
      <c r="FP1" s="1046"/>
      <c r="FQ1" s="1046"/>
      <c r="FR1" s="1046"/>
      <c r="FS1" s="1046"/>
      <c r="FT1" s="1046"/>
      <c r="FU1" s="1046"/>
      <c r="FV1" s="1046"/>
      <c r="FW1" s="1046"/>
      <c r="FX1" s="1046"/>
      <c r="FY1" s="1046"/>
      <c r="FZ1" s="1046"/>
      <c r="GA1" s="1046"/>
      <c r="GB1" s="1046"/>
      <c r="GC1" s="1046"/>
      <c r="GD1" s="1046"/>
      <c r="GE1" s="1046"/>
      <c r="GF1" s="1046"/>
      <c r="GG1" s="1046"/>
      <c r="GH1" s="1046"/>
      <c r="GI1" s="1046"/>
      <c r="GJ1" s="1046"/>
      <c r="GK1" s="1046"/>
      <c r="GL1" s="1046"/>
      <c r="GM1" s="1046"/>
      <c r="GN1" s="1046"/>
      <c r="GO1" s="1046"/>
      <c r="GP1" s="1046"/>
      <c r="GQ1" s="1046"/>
      <c r="GR1" s="1046"/>
      <c r="GS1" s="1046"/>
      <c r="GT1" s="1046"/>
      <c r="GU1" s="1046"/>
      <c r="GV1" s="1046"/>
      <c r="GW1" s="1046"/>
      <c r="GX1" s="1046"/>
      <c r="GY1" s="1046"/>
      <c r="GZ1" s="1046"/>
      <c r="HA1" s="1046"/>
      <c r="HB1" s="1046"/>
      <c r="HC1" s="1046"/>
      <c r="HD1" s="1046"/>
      <c r="HE1" s="1046"/>
      <c r="HF1" s="1046"/>
      <c r="HG1" s="1046"/>
      <c r="HH1" s="1046"/>
      <c r="HI1" s="1046"/>
      <c r="HJ1" s="1046"/>
      <c r="HK1" s="1046"/>
      <c r="HL1" s="1046"/>
      <c r="HM1" s="1046"/>
      <c r="HN1" s="1046"/>
      <c r="HO1" s="1046"/>
      <c r="HP1" s="1046"/>
      <c r="HQ1" s="1046"/>
      <c r="HR1" s="1046"/>
      <c r="HS1" s="1046"/>
      <c r="HT1" s="1046"/>
      <c r="HU1" s="1046"/>
      <c r="HV1" s="1046"/>
      <c r="HW1" s="1046"/>
      <c r="HX1" s="1046"/>
      <c r="HY1" s="1046"/>
      <c r="HZ1" s="1046"/>
      <c r="IA1" s="1046"/>
      <c r="IB1" s="1046"/>
      <c r="IC1" s="1046"/>
      <c r="ID1" s="1046"/>
      <c r="IE1" s="1046"/>
      <c r="IF1" s="1046"/>
      <c r="IG1" s="1046"/>
      <c r="IH1" s="1046"/>
      <c r="II1" s="1046"/>
      <c r="IJ1" s="1046"/>
      <c r="IK1" s="1046"/>
      <c r="IL1" s="1046"/>
      <c r="IM1" s="1046"/>
      <c r="IN1" s="1046"/>
      <c r="IO1" s="1046"/>
      <c r="IP1" s="1046"/>
      <c r="IQ1" s="1046"/>
      <c r="IR1" s="1046"/>
      <c r="IS1" s="1046"/>
      <c r="IT1" s="1046"/>
      <c r="IU1" s="1046"/>
      <c r="IV1" s="1046"/>
    </row>
    <row r="2" spans="1:256" ht="16.5" thickBot="1">
      <c r="A2" s="1045" t="s">
        <v>736</v>
      </c>
      <c r="B2" s="1046"/>
      <c r="C2" s="1540" t="s">
        <v>737</v>
      </c>
      <c r="D2" s="1540"/>
      <c r="E2" s="1046"/>
      <c r="F2" s="1046"/>
      <c r="G2" s="1046"/>
      <c r="H2" s="1046"/>
      <c r="I2" s="1046"/>
      <c r="J2" s="1046"/>
      <c r="K2" s="1046"/>
      <c r="L2" s="1046"/>
      <c r="M2" s="1046"/>
      <c r="N2" s="1046"/>
      <c r="O2" s="1046"/>
      <c r="P2" s="1046"/>
      <c r="Q2" s="1046"/>
      <c r="R2" s="1046"/>
      <c r="S2" s="1046"/>
      <c r="T2" s="1046"/>
      <c r="U2" s="1046"/>
      <c r="V2" s="1046"/>
      <c r="W2" s="1046"/>
      <c r="X2" s="1046"/>
      <c r="Y2" s="1046"/>
      <c r="Z2" s="1046"/>
      <c r="AA2" s="1046"/>
      <c r="AB2" s="1046"/>
      <c r="AC2" s="1046"/>
      <c r="AD2" s="1046"/>
      <c r="AE2" s="1046"/>
      <c r="AF2" s="1046"/>
      <c r="AG2" s="1046"/>
      <c r="AH2" s="1046"/>
      <c r="AI2" s="1046"/>
      <c r="AJ2" s="1046"/>
      <c r="AK2" s="1046"/>
      <c r="AL2" s="1046"/>
      <c r="AM2" s="1046"/>
      <c r="AN2" s="1046"/>
      <c r="AO2" s="1046"/>
      <c r="AP2" s="1046"/>
      <c r="AQ2" s="1046"/>
      <c r="AR2" s="1046"/>
      <c r="AS2" s="1046"/>
      <c r="AT2" s="1046"/>
      <c r="AU2" s="1046"/>
      <c r="AV2" s="1046"/>
      <c r="AW2" s="1046"/>
      <c r="AX2" s="1046"/>
      <c r="AY2" s="1046"/>
      <c r="AZ2" s="1046"/>
      <c r="BA2" s="1046"/>
      <c r="BB2" s="1046"/>
      <c r="BC2" s="1046"/>
      <c r="BD2" s="1046"/>
      <c r="BE2" s="1046"/>
      <c r="BF2" s="1046"/>
      <c r="BG2" s="1046"/>
      <c r="BH2" s="1046"/>
      <c r="BI2" s="1046"/>
      <c r="BJ2" s="1046"/>
      <c r="BK2" s="1046"/>
      <c r="BL2" s="1046"/>
      <c r="BM2" s="1046"/>
      <c r="BN2" s="1046"/>
      <c r="BO2" s="1046"/>
      <c r="BP2" s="1046"/>
      <c r="BQ2" s="1046"/>
      <c r="BR2" s="1046"/>
      <c r="BS2" s="1046"/>
      <c r="BT2" s="1046"/>
      <c r="BU2" s="1046"/>
      <c r="BV2" s="1046"/>
      <c r="BW2" s="1046"/>
      <c r="BX2" s="1046"/>
      <c r="BY2" s="1046"/>
      <c r="BZ2" s="1046"/>
      <c r="CA2" s="1046"/>
      <c r="CB2" s="1046"/>
      <c r="CC2" s="1046"/>
      <c r="CD2" s="1046"/>
      <c r="CE2" s="1046"/>
      <c r="CF2" s="1046"/>
      <c r="CG2" s="1046"/>
      <c r="CH2" s="1046"/>
      <c r="CI2" s="1046"/>
      <c r="CJ2" s="1046"/>
      <c r="CK2" s="1046"/>
      <c r="CL2" s="1046"/>
      <c r="CM2" s="1046"/>
      <c r="CN2" s="1046"/>
      <c r="CO2" s="1046"/>
      <c r="CP2" s="1046"/>
      <c r="CQ2" s="1046"/>
      <c r="CR2" s="1046"/>
      <c r="CS2" s="1046"/>
      <c r="CT2" s="1046"/>
      <c r="CU2" s="1046"/>
      <c r="CV2" s="1046"/>
      <c r="CW2" s="1046"/>
      <c r="CX2" s="1046"/>
      <c r="CY2" s="1046"/>
      <c r="CZ2" s="1046"/>
      <c r="DA2" s="1046"/>
      <c r="DB2" s="1046"/>
      <c r="DC2" s="1046"/>
      <c r="DD2" s="1046"/>
      <c r="DE2" s="1046"/>
      <c r="DF2" s="1046"/>
      <c r="DG2" s="1046"/>
      <c r="DH2" s="1046"/>
      <c r="DI2" s="1046"/>
      <c r="DJ2" s="1046"/>
      <c r="DK2" s="1046"/>
      <c r="DL2" s="1046"/>
      <c r="DM2" s="1046"/>
      <c r="DN2" s="1046"/>
      <c r="DO2" s="1046"/>
      <c r="DP2" s="1046"/>
      <c r="DQ2" s="1046"/>
      <c r="DR2" s="1046"/>
      <c r="DS2" s="1046"/>
      <c r="DT2" s="1046"/>
      <c r="DU2" s="1046"/>
      <c r="DV2" s="1046"/>
      <c r="DW2" s="1046"/>
      <c r="DX2" s="1046"/>
      <c r="DY2" s="1046"/>
      <c r="DZ2" s="1046"/>
      <c r="EA2" s="1046"/>
      <c r="EB2" s="1046"/>
      <c r="EC2" s="1046"/>
      <c r="ED2" s="1046"/>
      <c r="EE2" s="1046"/>
      <c r="EF2" s="1046"/>
      <c r="EG2" s="1046"/>
      <c r="EH2" s="1046"/>
      <c r="EI2" s="1046"/>
      <c r="EJ2" s="1046"/>
      <c r="EK2" s="1046"/>
      <c r="EL2" s="1046"/>
      <c r="EM2" s="1046"/>
      <c r="EN2" s="1046"/>
      <c r="EO2" s="1046"/>
      <c r="EP2" s="1046"/>
      <c r="EQ2" s="1046"/>
      <c r="ER2" s="1046"/>
      <c r="ES2" s="1046"/>
      <c r="ET2" s="1046"/>
      <c r="EU2" s="1046"/>
      <c r="EV2" s="1046"/>
      <c r="EW2" s="1046"/>
      <c r="EX2" s="1046"/>
      <c r="EY2" s="1046"/>
      <c r="EZ2" s="1046"/>
      <c r="FA2" s="1046"/>
      <c r="FB2" s="1046"/>
      <c r="FC2" s="1046"/>
      <c r="FD2" s="1046"/>
      <c r="FE2" s="1046"/>
      <c r="FF2" s="1046"/>
      <c r="FG2" s="1046"/>
      <c r="FH2" s="1046"/>
      <c r="FI2" s="1046"/>
      <c r="FJ2" s="1046"/>
      <c r="FK2" s="1046"/>
      <c r="FL2" s="1046"/>
      <c r="FM2" s="1046"/>
      <c r="FN2" s="1046"/>
      <c r="FO2" s="1046"/>
      <c r="FP2" s="1046"/>
      <c r="FQ2" s="1046"/>
      <c r="FR2" s="1046"/>
      <c r="FS2" s="1046"/>
      <c r="FT2" s="1046"/>
      <c r="FU2" s="1046"/>
      <c r="FV2" s="1046"/>
      <c r="FW2" s="1046"/>
      <c r="FX2" s="1046"/>
      <c r="FY2" s="1046"/>
      <c r="FZ2" s="1046"/>
      <c r="GA2" s="1046"/>
      <c r="GB2" s="1046"/>
      <c r="GC2" s="1046"/>
      <c r="GD2" s="1046"/>
      <c r="GE2" s="1046"/>
      <c r="GF2" s="1046"/>
      <c r="GG2" s="1046"/>
      <c r="GH2" s="1046"/>
      <c r="GI2" s="1046"/>
      <c r="GJ2" s="1046"/>
      <c r="GK2" s="1046"/>
      <c r="GL2" s="1046"/>
      <c r="GM2" s="1046"/>
      <c r="GN2" s="1046"/>
      <c r="GO2" s="1046"/>
      <c r="GP2" s="1046"/>
      <c r="GQ2" s="1046"/>
      <c r="GR2" s="1046"/>
      <c r="GS2" s="1046"/>
      <c r="GT2" s="1046"/>
      <c r="GU2" s="1046"/>
      <c r="GV2" s="1046"/>
      <c r="GW2" s="1046"/>
      <c r="GX2" s="1046"/>
      <c r="GY2" s="1046"/>
      <c r="GZ2" s="1046"/>
      <c r="HA2" s="1046"/>
      <c r="HB2" s="1046"/>
      <c r="HC2" s="1046"/>
      <c r="HD2" s="1046"/>
      <c r="HE2" s="1046"/>
      <c r="HF2" s="1046"/>
      <c r="HG2" s="1046"/>
      <c r="HH2" s="1046"/>
      <c r="HI2" s="1046"/>
      <c r="HJ2" s="1046"/>
      <c r="HK2" s="1046"/>
      <c r="HL2" s="1046"/>
      <c r="HM2" s="1046"/>
      <c r="HN2" s="1046"/>
      <c r="HO2" s="1046"/>
      <c r="HP2" s="1046"/>
      <c r="HQ2" s="1046"/>
      <c r="HR2" s="1046"/>
      <c r="HS2" s="1046"/>
      <c r="HT2" s="1046"/>
      <c r="HU2" s="1046"/>
      <c r="HV2" s="1046"/>
      <c r="HW2" s="1046"/>
      <c r="HX2" s="1046"/>
      <c r="HY2" s="1046"/>
      <c r="HZ2" s="1046"/>
      <c r="IA2" s="1046"/>
      <c r="IB2" s="1046"/>
      <c r="IC2" s="1046"/>
      <c r="ID2" s="1046"/>
      <c r="IE2" s="1046"/>
      <c r="IF2" s="1046"/>
      <c r="IG2" s="1046"/>
      <c r="IH2" s="1046"/>
      <c r="II2" s="1046"/>
      <c r="IJ2" s="1046"/>
      <c r="IK2" s="1046"/>
      <c r="IL2" s="1046"/>
      <c r="IM2" s="1046"/>
      <c r="IN2" s="1046"/>
      <c r="IO2" s="1046"/>
      <c r="IP2" s="1046"/>
      <c r="IQ2" s="1046"/>
      <c r="IR2" s="1046"/>
      <c r="IS2" s="1046"/>
      <c r="IT2" s="1046"/>
      <c r="IU2" s="1046"/>
      <c r="IV2" s="1046"/>
    </row>
    <row r="3" spans="1:256" ht="15.75" customHeight="1" thickBot="1">
      <c r="A3" s="1541" t="s">
        <v>738</v>
      </c>
      <c r="B3" s="1542" t="s">
        <v>6</v>
      </c>
      <c r="C3" s="1543" t="s">
        <v>739</v>
      </c>
      <c r="D3" s="1543" t="s">
        <v>740</v>
      </c>
      <c r="E3" s="1046"/>
      <c r="F3" s="1046"/>
      <c r="G3" s="1046"/>
      <c r="H3" s="1046"/>
      <c r="I3" s="1046"/>
      <c r="J3" s="1046"/>
      <c r="K3" s="1046"/>
      <c r="L3" s="1046"/>
      <c r="M3" s="1046"/>
      <c r="N3" s="1046"/>
      <c r="O3" s="1046"/>
      <c r="P3" s="1046"/>
      <c r="Q3" s="1046"/>
      <c r="R3" s="1046"/>
      <c r="S3" s="1046"/>
      <c r="T3" s="1046"/>
      <c r="U3" s="1046"/>
      <c r="V3" s="1046"/>
      <c r="W3" s="1046"/>
      <c r="X3" s="1046"/>
      <c r="Y3" s="1046"/>
      <c r="Z3" s="1046"/>
      <c r="AA3" s="1046"/>
      <c r="AB3" s="1046"/>
      <c r="AC3" s="1046"/>
      <c r="AD3" s="1046"/>
      <c r="AE3" s="1046"/>
      <c r="AF3" s="1046"/>
      <c r="AG3" s="1046"/>
      <c r="AH3" s="1046"/>
      <c r="AI3" s="1046"/>
      <c r="AJ3" s="1046"/>
      <c r="AK3" s="1046"/>
      <c r="AL3" s="1046"/>
      <c r="AM3" s="1046"/>
      <c r="AN3" s="1046"/>
      <c r="AO3" s="1046"/>
      <c r="AP3" s="1046"/>
      <c r="AQ3" s="1046"/>
      <c r="AR3" s="1046"/>
      <c r="AS3" s="1046"/>
      <c r="AT3" s="1046"/>
      <c r="AU3" s="1046"/>
      <c r="AV3" s="1046"/>
      <c r="AW3" s="1046"/>
      <c r="AX3" s="1046"/>
      <c r="AY3" s="1046"/>
      <c r="AZ3" s="1046"/>
      <c r="BA3" s="1046"/>
      <c r="BB3" s="1046"/>
      <c r="BC3" s="1046"/>
      <c r="BD3" s="1046"/>
      <c r="BE3" s="1046"/>
      <c r="BF3" s="1046"/>
      <c r="BG3" s="1046"/>
      <c r="BH3" s="1046"/>
      <c r="BI3" s="1046"/>
      <c r="BJ3" s="1046"/>
      <c r="BK3" s="1046"/>
      <c r="BL3" s="1046"/>
      <c r="BM3" s="1046"/>
      <c r="BN3" s="1046"/>
      <c r="BO3" s="1046"/>
      <c r="BP3" s="1046"/>
      <c r="BQ3" s="1046"/>
      <c r="BR3" s="1046"/>
      <c r="BS3" s="1046"/>
      <c r="BT3" s="1046"/>
      <c r="BU3" s="1046"/>
      <c r="BV3" s="1046"/>
      <c r="BW3" s="1046"/>
      <c r="BX3" s="1046"/>
      <c r="BY3" s="1046"/>
      <c r="BZ3" s="1046"/>
      <c r="CA3" s="1046"/>
      <c r="CB3" s="1046"/>
      <c r="CC3" s="1046"/>
      <c r="CD3" s="1046"/>
      <c r="CE3" s="1046"/>
      <c r="CF3" s="1046"/>
      <c r="CG3" s="1046"/>
      <c r="CH3" s="1046"/>
      <c r="CI3" s="1046"/>
      <c r="CJ3" s="1046"/>
      <c r="CK3" s="1046"/>
      <c r="CL3" s="1046"/>
      <c r="CM3" s="1046"/>
      <c r="CN3" s="1046"/>
      <c r="CO3" s="1046"/>
      <c r="CP3" s="1046"/>
      <c r="CQ3" s="1046"/>
      <c r="CR3" s="1046"/>
      <c r="CS3" s="1046"/>
      <c r="CT3" s="1046"/>
      <c r="CU3" s="1046"/>
      <c r="CV3" s="1046"/>
      <c r="CW3" s="1046"/>
      <c r="CX3" s="1046"/>
      <c r="CY3" s="1046"/>
      <c r="CZ3" s="1046"/>
      <c r="DA3" s="1046"/>
      <c r="DB3" s="1046"/>
      <c r="DC3" s="1046"/>
      <c r="DD3" s="1046"/>
      <c r="DE3" s="1046"/>
      <c r="DF3" s="1046"/>
      <c r="DG3" s="1046"/>
      <c r="DH3" s="1046"/>
      <c r="DI3" s="1046"/>
      <c r="DJ3" s="1046"/>
      <c r="DK3" s="1046"/>
      <c r="DL3" s="1046"/>
      <c r="DM3" s="1046"/>
      <c r="DN3" s="1046"/>
      <c r="DO3" s="1046"/>
      <c r="DP3" s="1046"/>
      <c r="DQ3" s="1046"/>
      <c r="DR3" s="1046"/>
      <c r="DS3" s="1046"/>
      <c r="DT3" s="1046"/>
      <c r="DU3" s="1046"/>
      <c r="DV3" s="1046"/>
      <c r="DW3" s="1046"/>
      <c r="DX3" s="1046"/>
      <c r="DY3" s="1046"/>
      <c r="DZ3" s="1046"/>
      <c r="EA3" s="1046"/>
      <c r="EB3" s="1046"/>
      <c r="EC3" s="1046"/>
      <c r="ED3" s="1046"/>
      <c r="EE3" s="1046"/>
      <c r="EF3" s="1046"/>
      <c r="EG3" s="1046"/>
      <c r="EH3" s="1046"/>
      <c r="EI3" s="1046"/>
      <c r="EJ3" s="1046"/>
      <c r="EK3" s="1046"/>
      <c r="EL3" s="1046"/>
      <c r="EM3" s="1046"/>
      <c r="EN3" s="1046"/>
      <c r="EO3" s="1046"/>
      <c r="EP3" s="1046"/>
      <c r="EQ3" s="1046"/>
      <c r="ER3" s="1046"/>
      <c r="ES3" s="1046"/>
      <c r="ET3" s="1046"/>
      <c r="EU3" s="1046"/>
      <c r="EV3" s="1046"/>
      <c r="EW3" s="1046"/>
      <c r="EX3" s="1046"/>
      <c r="EY3" s="1046"/>
      <c r="EZ3" s="1046"/>
      <c r="FA3" s="1046"/>
      <c r="FB3" s="1046"/>
      <c r="FC3" s="1046"/>
      <c r="FD3" s="1046"/>
      <c r="FE3" s="1046"/>
      <c r="FF3" s="1046"/>
      <c r="FG3" s="1046"/>
      <c r="FH3" s="1046"/>
      <c r="FI3" s="1046"/>
      <c r="FJ3" s="1046"/>
      <c r="FK3" s="1046"/>
      <c r="FL3" s="1046"/>
      <c r="FM3" s="1046"/>
      <c r="FN3" s="1046"/>
      <c r="FO3" s="1046"/>
      <c r="FP3" s="1046"/>
      <c r="FQ3" s="1046"/>
      <c r="FR3" s="1046"/>
      <c r="FS3" s="1046"/>
      <c r="FT3" s="1046"/>
      <c r="FU3" s="1046"/>
      <c r="FV3" s="1046"/>
      <c r="FW3" s="1046"/>
      <c r="FX3" s="1046"/>
      <c r="FY3" s="1046"/>
      <c r="FZ3" s="1046"/>
      <c r="GA3" s="1046"/>
      <c r="GB3" s="1046"/>
      <c r="GC3" s="1046"/>
      <c r="GD3" s="1046"/>
      <c r="GE3" s="1046"/>
      <c r="GF3" s="1046"/>
      <c r="GG3" s="1046"/>
      <c r="GH3" s="1046"/>
      <c r="GI3" s="1046"/>
      <c r="GJ3" s="1046"/>
      <c r="GK3" s="1046"/>
      <c r="GL3" s="1046"/>
      <c r="GM3" s="1046"/>
      <c r="GN3" s="1046"/>
      <c r="GO3" s="1046"/>
      <c r="GP3" s="1046"/>
      <c r="GQ3" s="1046"/>
      <c r="GR3" s="1046"/>
      <c r="GS3" s="1046"/>
      <c r="GT3" s="1046"/>
      <c r="GU3" s="1046"/>
      <c r="GV3" s="1046"/>
      <c r="GW3" s="1046"/>
      <c r="GX3" s="1046"/>
      <c r="GY3" s="1046"/>
      <c r="GZ3" s="1046"/>
      <c r="HA3" s="1046"/>
      <c r="HB3" s="1046"/>
      <c r="HC3" s="1046"/>
      <c r="HD3" s="1046"/>
      <c r="HE3" s="1046"/>
      <c r="HF3" s="1046"/>
      <c r="HG3" s="1046"/>
      <c r="HH3" s="1046"/>
      <c r="HI3" s="1046"/>
      <c r="HJ3" s="1046"/>
      <c r="HK3" s="1046"/>
      <c r="HL3" s="1046"/>
      <c r="HM3" s="1046"/>
      <c r="HN3" s="1046"/>
      <c r="HO3" s="1046"/>
      <c r="HP3" s="1046"/>
      <c r="HQ3" s="1046"/>
      <c r="HR3" s="1046"/>
      <c r="HS3" s="1046"/>
      <c r="HT3" s="1046"/>
      <c r="HU3" s="1046"/>
      <c r="HV3" s="1046"/>
      <c r="HW3" s="1046"/>
      <c r="HX3" s="1046"/>
      <c r="HY3" s="1046"/>
      <c r="HZ3" s="1046"/>
      <c r="IA3" s="1046"/>
      <c r="IB3" s="1046"/>
      <c r="IC3" s="1046"/>
      <c r="ID3" s="1046"/>
      <c r="IE3" s="1046"/>
      <c r="IF3" s="1046"/>
      <c r="IG3" s="1046"/>
      <c r="IH3" s="1046"/>
      <c r="II3" s="1046"/>
      <c r="IJ3" s="1046"/>
      <c r="IK3" s="1046"/>
      <c r="IL3" s="1046"/>
      <c r="IM3" s="1046"/>
      <c r="IN3" s="1046"/>
      <c r="IO3" s="1046"/>
      <c r="IP3" s="1046"/>
      <c r="IQ3" s="1046"/>
      <c r="IR3" s="1046"/>
      <c r="IS3" s="1046"/>
      <c r="IT3" s="1046"/>
      <c r="IU3" s="1046"/>
      <c r="IV3" s="1046"/>
    </row>
    <row r="4" spans="1:256" ht="11.25" customHeight="1" thickBot="1">
      <c r="A4" s="1541"/>
      <c r="B4" s="1542"/>
      <c r="C4" s="1543"/>
      <c r="D4" s="1543"/>
      <c r="E4" s="1046"/>
      <c r="F4" s="1046"/>
      <c r="G4" s="1046"/>
      <c r="H4" s="1046"/>
      <c r="I4" s="1046"/>
      <c r="J4" s="1046"/>
      <c r="K4" s="1046"/>
      <c r="L4" s="1046"/>
      <c r="M4" s="1046"/>
      <c r="N4" s="1046"/>
      <c r="O4" s="1046"/>
      <c r="P4" s="1046"/>
      <c r="Q4" s="1046"/>
      <c r="R4" s="1046"/>
      <c r="S4" s="1046"/>
      <c r="T4" s="1046"/>
      <c r="U4" s="1046"/>
      <c r="V4" s="1046"/>
      <c r="W4" s="1046"/>
      <c r="X4" s="1046"/>
      <c r="Y4" s="1046"/>
      <c r="Z4" s="1046"/>
      <c r="AA4" s="1046"/>
      <c r="AB4" s="1046"/>
      <c r="AC4" s="1046"/>
      <c r="AD4" s="1046"/>
      <c r="AE4" s="1046"/>
      <c r="AF4" s="1046"/>
      <c r="AG4" s="1046"/>
      <c r="AH4" s="1046"/>
      <c r="AI4" s="1046"/>
      <c r="AJ4" s="1046"/>
      <c r="AK4" s="1046"/>
      <c r="AL4" s="1046"/>
      <c r="AM4" s="1046"/>
      <c r="AN4" s="1046"/>
      <c r="AO4" s="1046"/>
      <c r="AP4" s="1046"/>
      <c r="AQ4" s="1046"/>
      <c r="AR4" s="1046"/>
      <c r="AS4" s="1046"/>
      <c r="AT4" s="1046"/>
      <c r="AU4" s="1046"/>
      <c r="AV4" s="1046"/>
      <c r="AW4" s="1046"/>
      <c r="AX4" s="1046"/>
      <c r="AY4" s="1046"/>
      <c r="AZ4" s="1046"/>
      <c r="BA4" s="1046"/>
      <c r="BB4" s="1046"/>
      <c r="BC4" s="1046"/>
      <c r="BD4" s="1046"/>
      <c r="BE4" s="1046"/>
      <c r="BF4" s="1046"/>
      <c r="BG4" s="1046"/>
      <c r="BH4" s="1046"/>
      <c r="BI4" s="1046"/>
      <c r="BJ4" s="1046"/>
      <c r="BK4" s="1046"/>
      <c r="BL4" s="1046"/>
      <c r="BM4" s="1046"/>
      <c r="BN4" s="1046"/>
      <c r="BO4" s="1046"/>
      <c r="BP4" s="1046"/>
      <c r="BQ4" s="1046"/>
      <c r="BR4" s="1046"/>
      <c r="BS4" s="1046"/>
      <c r="BT4" s="1046"/>
      <c r="BU4" s="1046"/>
      <c r="BV4" s="1046"/>
      <c r="BW4" s="1046"/>
      <c r="BX4" s="1046"/>
      <c r="BY4" s="1046"/>
      <c r="BZ4" s="1046"/>
      <c r="CA4" s="1046"/>
      <c r="CB4" s="1046"/>
      <c r="CC4" s="1046"/>
      <c r="CD4" s="1046"/>
      <c r="CE4" s="1046"/>
      <c r="CF4" s="1046"/>
      <c r="CG4" s="1046"/>
      <c r="CH4" s="1046"/>
      <c r="CI4" s="1046"/>
      <c r="CJ4" s="1046"/>
      <c r="CK4" s="1046"/>
      <c r="CL4" s="1046"/>
      <c r="CM4" s="1046"/>
      <c r="CN4" s="1046"/>
      <c r="CO4" s="1046"/>
      <c r="CP4" s="1046"/>
      <c r="CQ4" s="1046"/>
      <c r="CR4" s="1046"/>
      <c r="CS4" s="1046"/>
      <c r="CT4" s="1046"/>
      <c r="CU4" s="1046"/>
      <c r="CV4" s="1046"/>
      <c r="CW4" s="1046"/>
      <c r="CX4" s="1046"/>
      <c r="CY4" s="1046"/>
      <c r="CZ4" s="1046"/>
      <c r="DA4" s="1046"/>
      <c r="DB4" s="1046"/>
      <c r="DC4" s="1046"/>
      <c r="DD4" s="1046"/>
      <c r="DE4" s="1046"/>
      <c r="DF4" s="1046"/>
      <c r="DG4" s="1046"/>
      <c r="DH4" s="1046"/>
      <c r="DI4" s="1046"/>
      <c r="DJ4" s="1046"/>
      <c r="DK4" s="1046"/>
      <c r="DL4" s="1046"/>
      <c r="DM4" s="1046"/>
      <c r="DN4" s="1046"/>
      <c r="DO4" s="1046"/>
      <c r="DP4" s="1046"/>
      <c r="DQ4" s="1046"/>
      <c r="DR4" s="1046"/>
      <c r="DS4" s="1046"/>
      <c r="DT4" s="1046"/>
      <c r="DU4" s="1046"/>
      <c r="DV4" s="1046"/>
      <c r="DW4" s="1046"/>
      <c r="DX4" s="1046"/>
      <c r="DY4" s="1046"/>
      <c r="DZ4" s="1046"/>
      <c r="EA4" s="1046"/>
      <c r="EB4" s="1046"/>
      <c r="EC4" s="1046"/>
      <c r="ED4" s="1046"/>
      <c r="EE4" s="1046"/>
      <c r="EF4" s="1046"/>
      <c r="EG4" s="1046"/>
      <c r="EH4" s="1046"/>
      <c r="EI4" s="1046"/>
      <c r="EJ4" s="1046"/>
      <c r="EK4" s="1046"/>
      <c r="EL4" s="1046"/>
      <c r="EM4" s="1046"/>
      <c r="EN4" s="1046"/>
      <c r="EO4" s="1046"/>
      <c r="EP4" s="1046"/>
      <c r="EQ4" s="1046"/>
      <c r="ER4" s="1046"/>
      <c r="ES4" s="1046"/>
      <c r="ET4" s="1046"/>
      <c r="EU4" s="1046"/>
      <c r="EV4" s="1046"/>
      <c r="EW4" s="1046"/>
      <c r="EX4" s="1046"/>
      <c r="EY4" s="1046"/>
      <c r="EZ4" s="1046"/>
      <c r="FA4" s="1046"/>
      <c r="FB4" s="1046"/>
      <c r="FC4" s="1046"/>
      <c r="FD4" s="1046"/>
      <c r="FE4" s="1046"/>
      <c r="FF4" s="1046"/>
      <c r="FG4" s="1046"/>
      <c r="FH4" s="1046"/>
      <c r="FI4" s="1046"/>
      <c r="FJ4" s="1046"/>
      <c r="FK4" s="1046"/>
      <c r="FL4" s="1046"/>
      <c r="FM4" s="1046"/>
      <c r="FN4" s="1046"/>
      <c r="FO4" s="1046"/>
      <c r="FP4" s="1046"/>
      <c r="FQ4" s="1046"/>
      <c r="FR4" s="1046"/>
      <c r="FS4" s="1046"/>
      <c r="FT4" s="1046"/>
      <c r="FU4" s="1046"/>
      <c r="FV4" s="1046"/>
      <c r="FW4" s="1046"/>
      <c r="FX4" s="1046"/>
      <c r="FY4" s="1046"/>
      <c r="FZ4" s="1046"/>
      <c r="GA4" s="1046"/>
      <c r="GB4" s="1046"/>
      <c r="GC4" s="1046"/>
      <c r="GD4" s="1046"/>
      <c r="GE4" s="1046"/>
      <c r="GF4" s="1046"/>
      <c r="GG4" s="1046"/>
      <c r="GH4" s="1046"/>
      <c r="GI4" s="1046"/>
      <c r="GJ4" s="1046"/>
      <c r="GK4" s="1046"/>
      <c r="GL4" s="1046"/>
      <c r="GM4" s="1046"/>
      <c r="GN4" s="1046"/>
      <c r="GO4" s="1046"/>
      <c r="GP4" s="1046"/>
      <c r="GQ4" s="1046"/>
      <c r="GR4" s="1046"/>
      <c r="GS4" s="1046"/>
      <c r="GT4" s="1046"/>
      <c r="GU4" s="1046"/>
      <c r="GV4" s="1046"/>
      <c r="GW4" s="1046"/>
      <c r="GX4" s="1046"/>
      <c r="GY4" s="1046"/>
      <c r="GZ4" s="1046"/>
      <c r="HA4" s="1046"/>
      <c r="HB4" s="1046"/>
      <c r="HC4" s="1046"/>
      <c r="HD4" s="1046"/>
      <c r="HE4" s="1046"/>
      <c r="HF4" s="1046"/>
      <c r="HG4" s="1046"/>
      <c r="HH4" s="1046"/>
      <c r="HI4" s="1046"/>
      <c r="HJ4" s="1046"/>
      <c r="HK4" s="1046"/>
      <c r="HL4" s="1046"/>
      <c r="HM4" s="1046"/>
      <c r="HN4" s="1046"/>
      <c r="HO4" s="1046"/>
      <c r="HP4" s="1046"/>
      <c r="HQ4" s="1046"/>
      <c r="HR4" s="1046"/>
      <c r="HS4" s="1046"/>
      <c r="HT4" s="1046"/>
      <c r="HU4" s="1046"/>
      <c r="HV4" s="1046"/>
      <c r="HW4" s="1046"/>
      <c r="HX4" s="1046"/>
      <c r="HY4" s="1046"/>
      <c r="HZ4" s="1046"/>
      <c r="IA4" s="1046"/>
      <c r="IB4" s="1046"/>
      <c r="IC4" s="1046"/>
      <c r="ID4" s="1046"/>
      <c r="IE4" s="1046"/>
      <c r="IF4" s="1046"/>
      <c r="IG4" s="1046"/>
      <c r="IH4" s="1046"/>
      <c r="II4" s="1046"/>
      <c r="IJ4" s="1046"/>
      <c r="IK4" s="1046"/>
      <c r="IL4" s="1046"/>
      <c r="IM4" s="1046"/>
      <c r="IN4" s="1046"/>
      <c r="IO4" s="1046"/>
      <c r="IP4" s="1046"/>
      <c r="IQ4" s="1046"/>
      <c r="IR4" s="1046"/>
      <c r="IS4" s="1046"/>
      <c r="IT4" s="1046"/>
      <c r="IU4" s="1046"/>
      <c r="IV4" s="1046"/>
    </row>
    <row r="5" spans="1:256" ht="12.75" customHeight="1">
      <c r="A5" s="1541"/>
      <c r="B5" s="1542"/>
      <c r="C5" s="1544" t="s">
        <v>741</v>
      </c>
      <c r="D5" s="1544"/>
      <c r="E5" s="1046"/>
      <c r="F5" s="1046"/>
      <c r="G5" s="1046"/>
      <c r="H5" s="1046"/>
      <c r="I5" s="1046"/>
      <c r="J5" s="1046"/>
      <c r="K5" s="1046"/>
      <c r="L5" s="1046"/>
      <c r="M5" s="1046"/>
      <c r="N5" s="1046"/>
      <c r="O5" s="1046"/>
      <c r="P5" s="1046"/>
      <c r="Q5" s="1046"/>
      <c r="R5" s="1046"/>
      <c r="S5" s="1046"/>
      <c r="T5" s="1046"/>
      <c r="U5" s="1046"/>
      <c r="V5" s="1046"/>
      <c r="W5" s="1046"/>
      <c r="X5" s="1046"/>
      <c r="Y5" s="1046"/>
      <c r="Z5" s="1046"/>
      <c r="AA5" s="1046"/>
      <c r="AB5" s="1046"/>
      <c r="AC5" s="1046"/>
      <c r="AD5" s="1046"/>
      <c r="AE5" s="1046"/>
      <c r="AF5" s="1046"/>
      <c r="AG5" s="1046"/>
      <c r="AH5" s="1046"/>
      <c r="AI5" s="1046"/>
      <c r="AJ5" s="1046"/>
      <c r="AK5" s="1046"/>
      <c r="AL5" s="1046"/>
      <c r="AM5" s="1046"/>
      <c r="AN5" s="1046"/>
      <c r="AO5" s="1046"/>
      <c r="AP5" s="1046"/>
      <c r="AQ5" s="1046"/>
      <c r="AR5" s="1046"/>
      <c r="AS5" s="1046"/>
      <c r="AT5" s="1046"/>
      <c r="AU5" s="1046"/>
      <c r="AV5" s="1046"/>
      <c r="AW5" s="1046"/>
      <c r="AX5" s="1046"/>
      <c r="AY5" s="1046"/>
      <c r="AZ5" s="1046"/>
      <c r="BA5" s="1046"/>
      <c r="BB5" s="1046"/>
      <c r="BC5" s="1046"/>
      <c r="BD5" s="1046"/>
      <c r="BE5" s="1046"/>
      <c r="BF5" s="1046"/>
      <c r="BG5" s="1046"/>
      <c r="BH5" s="1046"/>
      <c r="BI5" s="1046"/>
      <c r="BJ5" s="1046"/>
      <c r="BK5" s="1046"/>
      <c r="BL5" s="1046"/>
      <c r="BM5" s="1046"/>
      <c r="BN5" s="1046"/>
      <c r="BO5" s="1046"/>
      <c r="BP5" s="1046"/>
      <c r="BQ5" s="1046"/>
      <c r="BR5" s="1046"/>
      <c r="BS5" s="1046"/>
      <c r="BT5" s="1046"/>
      <c r="BU5" s="1046"/>
      <c r="BV5" s="1046"/>
      <c r="BW5" s="1046"/>
      <c r="BX5" s="1046"/>
      <c r="BY5" s="1046"/>
      <c r="BZ5" s="1046"/>
      <c r="CA5" s="1046"/>
      <c r="CB5" s="1046"/>
      <c r="CC5" s="1046"/>
      <c r="CD5" s="1046"/>
      <c r="CE5" s="1046"/>
      <c r="CF5" s="1046"/>
      <c r="CG5" s="1046"/>
      <c r="CH5" s="1046"/>
      <c r="CI5" s="1046"/>
      <c r="CJ5" s="1046"/>
      <c r="CK5" s="1046"/>
      <c r="CL5" s="1046"/>
      <c r="CM5" s="1046"/>
      <c r="CN5" s="1046"/>
      <c r="CO5" s="1046"/>
      <c r="CP5" s="1046"/>
      <c r="CQ5" s="1046"/>
      <c r="CR5" s="1046"/>
      <c r="CS5" s="1046"/>
      <c r="CT5" s="1046"/>
      <c r="CU5" s="1046"/>
      <c r="CV5" s="1046"/>
      <c r="CW5" s="1046"/>
      <c r="CX5" s="1046"/>
      <c r="CY5" s="1046"/>
      <c r="CZ5" s="1046"/>
      <c r="DA5" s="1046"/>
      <c r="DB5" s="1046"/>
      <c r="DC5" s="1046"/>
      <c r="DD5" s="1046"/>
      <c r="DE5" s="1046"/>
      <c r="DF5" s="1046"/>
      <c r="DG5" s="1046"/>
      <c r="DH5" s="1046"/>
      <c r="DI5" s="1046"/>
      <c r="DJ5" s="1046"/>
      <c r="DK5" s="1046"/>
      <c r="DL5" s="1046"/>
      <c r="DM5" s="1046"/>
      <c r="DN5" s="1046"/>
      <c r="DO5" s="1046"/>
      <c r="DP5" s="1046"/>
      <c r="DQ5" s="1046"/>
      <c r="DR5" s="1046"/>
      <c r="DS5" s="1046"/>
      <c r="DT5" s="1046"/>
      <c r="DU5" s="1046"/>
      <c r="DV5" s="1046"/>
      <c r="DW5" s="1046"/>
      <c r="DX5" s="1046"/>
      <c r="DY5" s="1046"/>
      <c r="DZ5" s="1046"/>
      <c r="EA5" s="1046"/>
      <c r="EB5" s="1046"/>
      <c r="EC5" s="1046"/>
      <c r="ED5" s="1046"/>
      <c r="EE5" s="1046"/>
      <c r="EF5" s="1046"/>
      <c r="EG5" s="1046"/>
      <c r="EH5" s="1046"/>
      <c r="EI5" s="1046"/>
      <c r="EJ5" s="1046"/>
      <c r="EK5" s="1046"/>
      <c r="EL5" s="1046"/>
      <c r="EM5" s="1046"/>
      <c r="EN5" s="1046"/>
      <c r="EO5" s="1046"/>
      <c r="EP5" s="1046"/>
      <c r="EQ5" s="1046"/>
      <c r="ER5" s="1046"/>
      <c r="ES5" s="1046"/>
      <c r="ET5" s="1046"/>
      <c r="EU5" s="1046"/>
      <c r="EV5" s="1046"/>
      <c r="EW5" s="1046"/>
      <c r="EX5" s="1046"/>
      <c r="EY5" s="1046"/>
      <c r="EZ5" s="1046"/>
      <c r="FA5" s="1046"/>
      <c r="FB5" s="1046"/>
      <c r="FC5" s="1046"/>
      <c r="FD5" s="1046"/>
      <c r="FE5" s="1046"/>
      <c r="FF5" s="1046"/>
      <c r="FG5" s="1046"/>
      <c r="FH5" s="1046"/>
      <c r="FI5" s="1046"/>
      <c r="FJ5" s="1046"/>
      <c r="FK5" s="1046"/>
      <c r="FL5" s="1046"/>
      <c r="FM5" s="1046"/>
      <c r="FN5" s="1046"/>
      <c r="FO5" s="1046"/>
      <c r="FP5" s="1046"/>
      <c r="FQ5" s="1046"/>
      <c r="FR5" s="1046"/>
      <c r="FS5" s="1046"/>
      <c r="FT5" s="1046"/>
      <c r="FU5" s="1046"/>
      <c r="FV5" s="1046"/>
      <c r="FW5" s="1046"/>
      <c r="FX5" s="1046"/>
      <c r="FY5" s="1046"/>
      <c r="FZ5" s="1046"/>
      <c r="GA5" s="1046"/>
      <c r="GB5" s="1046"/>
      <c r="GC5" s="1046"/>
      <c r="GD5" s="1046"/>
      <c r="GE5" s="1046"/>
      <c r="GF5" s="1046"/>
      <c r="GG5" s="1046"/>
      <c r="GH5" s="1046"/>
      <c r="GI5" s="1046"/>
      <c r="GJ5" s="1046"/>
      <c r="GK5" s="1046"/>
      <c r="GL5" s="1046"/>
      <c r="GM5" s="1046"/>
      <c r="GN5" s="1046"/>
      <c r="GO5" s="1046"/>
      <c r="GP5" s="1046"/>
      <c r="GQ5" s="1046"/>
      <c r="GR5" s="1046"/>
      <c r="GS5" s="1046"/>
      <c r="GT5" s="1046"/>
      <c r="GU5" s="1046"/>
      <c r="GV5" s="1046"/>
      <c r="GW5" s="1046"/>
      <c r="GX5" s="1046"/>
      <c r="GY5" s="1046"/>
      <c r="GZ5" s="1046"/>
      <c r="HA5" s="1046"/>
      <c r="HB5" s="1046"/>
      <c r="HC5" s="1046"/>
      <c r="HD5" s="1046"/>
      <c r="HE5" s="1046"/>
      <c r="HF5" s="1046"/>
      <c r="HG5" s="1046"/>
      <c r="HH5" s="1046"/>
      <c r="HI5" s="1046"/>
      <c r="HJ5" s="1046"/>
      <c r="HK5" s="1046"/>
      <c r="HL5" s="1046"/>
      <c r="HM5" s="1046"/>
      <c r="HN5" s="1046"/>
      <c r="HO5" s="1046"/>
      <c r="HP5" s="1046"/>
      <c r="HQ5" s="1046"/>
      <c r="HR5" s="1046"/>
      <c r="HS5" s="1046"/>
      <c r="HT5" s="1046"/>
      <c r="HU5" s="1046"/>
      <c r="HV5" s="1046"/>
      <c r="HW5" s="1046"/>
      <c r="HX5" s="1046"/>
      <c r="HY5" s="1046"/>
      <c r="HZ5" s="1046"/>
      <c r="IA5" s="1046"/>
      <c r="IB5" s="1046"/>
      <c r="IC5" s="1046"/>
      <c r="ID5" s="1046"/>
      <c r="IE5" s="1046"/>
      <c r="IF5" s="1046"/>
      <c r="IG5" s="1046"/>
      <c r="IH5" s="1046"/>
      <c r="II5" s="1046"/>
      <c r="IJ5" s="1046"/>
      <c r="IK5" s="1046"/>
      <c r="IL5" s="1046"/>
      <c r="IM5" s="1046"/>
      <c r="IN5" s="1046"/>
      <c r="IO5" s="1046"/>
      <c r="IP5" s="1046"/>
      <c r="IQ5" s="1046"/>
      <c r="IR5" s="1046"/>
      <c r="IS5" s="1046"/>
      <c r="IT5" s="1046"/>
      <c r="IU5" s="1046"/>
      <c r="IV5" s="1046"/>
    </row>
    <row r="6" spans="1:4" s="1182" customFormat="1" ht="16.5" thickBot="1">
      <c r="A6" s="1047" t="s">
        <v>742</v>
      </c>
      <c r="B6" s="1048" t="s">
        <v>15</v>
      </c>
      <c r="C6" s="1048" t="s">
        <v>600</v>
      </c>
      <c r="D6" s="1048" t="s">
        <v>601</v>
      </c>
    </row>
    <row r="7" spans="1:4" s="1183" customFormat="1" ht="15.75">
      <c r="A7" s="1050" t="s">
        <v>743</v>
      </c>
      <c r="B7" s="1051" t="s">
        <v>744</v>
      </c>
      <c r="C7" s="1052">
        <f>SUM(C8:C11)</f>
        <v>30555743</v>
      </c>
      <c r="D7" s="1052">
        <f>SUM(D8:D11)</f>
        <v>7302898</v>
      </c>
    </row>
    <row r="8" spans="1:4" s="1183" customFormat="1" ht="15.75">
      <c r="A8" s="1054" t="s">
        <v>745</v>
      </c>
      <c r="B8" s="1055" t="s">
        <v>746</v>
      </c>
      <c r="C8" s="1056">
        <v>7302898</v>
      </c>
      <c r="D8" s="1056">
        <v>7302898</v>
      </c>
    </row>
    <row r="9" spans="1:4" s="1183" customFormat="1" ht="38.25">
      <c r="A9" s="1054" t="s">
        <v>747</v>
      </c>
      <c r="B9" s="1055" t="s">
        <v>748</v>
      </c>
      <c r="C9" s="1056"/>
      <c r="D9" s="1056"/>
    </row>
    <row r="10" spans="1:4" s="1183" customFormat="1" ht="15.75">
      <c r="A10" s="1054" t="s">
        <v>749</v>
      </c>
      <c r="B10" s="1055" t="s">
        <v>750</v>
      </c>
      <c r="C10" s="1056">
        <v>16890345</v>
      </c>
      <c r="D10" s="1056"/>
    </row>
    <row r="11" spans="1:4" s="1183" customFormat="1" ht="15.75">
      <c r="A11" s="1054" t="s">
        <v>751</v>
      </c>
      <c r="B11" s="1055" t="s">
        <v>752</v>
      </c>
      <c r="C11" s="1056">
        <v>6362500</v>
      </c>
      <c r="D11" s="1056"/>
    </row>
    <row r="12" spans="1:4" s="1183" customFormat="1" ht="15.75">
      <c r="A12" s="1057" t="s">
        <v>753</v>
      </c>
      <c r="B12" s="1058" t="s">
        <v>754</v>
      </c>
      <c r="C12" s="1059">
        <f>SUM(C13+C18+C23+C28+C33)</f>
        <v>1470079997</v>
      </c>
      <c r="D12" s="1059">
        <f>SUM(D13+D18+D23+D28+D33)</f>
        <v>1099114841</v>
      </c>
    </row>
    <row r="13" spans="1:4" s="1183" customFormat="1" ht="15.75">
      <c r="A13" s="1057" t="s">
        <v>755</v>
      </c>
      <c r="B13" s="1058" t="s">
        <v>756</v>
      </c>
      <c r="C13" s="1059">
        <f>SUM(C14:C17)</f>
        <v>1256818669</v>
      </c>
      <c r="D13" s="1059">
        <f>SUM(D14:D17)</f>
        <v>933654468</v>
      </c>
    </row>
    <row r="14" spans="1:4" s="1183" customFormat="1" ht="15.75">
      <c r="A14" s="1054" t="s">
        <v>757</v>
      </c>
      <c r="B14" s="1055" t="s">
        <v>758</v>
      </c>
      <c r="C14" s="1056">
        <v>681312581</v>
      </c>
      <c r="D14" s="1056">
        <v>466321925</v>
      </c>
    </row>
    <row r="15" spans="1:4" s="1183" customFormat="1" ht="37.5" customHeight="1">
      <c r="A15" s="1054" t="s">
        <v>759</v>
      </c>
      <c r="B15" s="1055" t="s">
        <v>760</v>
      </c>
      <c r="C15" s="1056"/>
      <c r="D15" s="1056"/>
    </row>
    <row r="16" spans="1:4" s="1183" customFormat="1" ht="25.5">
      <c r="A16" s="1054" t="s">
        <v>761</v>
      </c>
      <c r="B16" s="1055" t="s">
        <v>403</v>
      </c>
      <c r="C16" s="1056">
        <v>476011543</v>
      </c>
      <c r="D16" s="1056">
        <v>378824280</v>
      </c>
    </row>
    <row r="17" spans="1:4" s="1183" customFormat="1" ht="15.75">
      <c r="A17" s="1054" t="s">
        <v>762</v>
      </c>
      <c r="B17" s="1055" t="s">
        <v>405</v>
      </c>
      <c r="C17" s="1056">
        <v>99494545</v>
      </c>
      <c r="D17" s="1056">
        <v>88508263</v>
      </c>
    </row>
    <row r="18" spans="1:4" s="1183" customFormat="1" ht="15.75">
      <c r="A18" s="1057" t="s">
        <v>763</v>
      </c>
      <c r="B18" s="1058" t="s">
        <v>406</v>
      </c>
      <c r="C18" s="1060">
        <f>SUM(C19:C22)</f>
        <v>51961644</v>
      </c>
      <c r="D18" s="1060">
        <f>SUM(D19:D22)</f>
        <v>4160689</v>
      </c>
    </row>
    <row r="19" spans="1:4" s="1183" customFormat="1" ht="15.75">
      <c r="A19" s="1054" t="s">
        <v>764</v>
      </c>
      <c r="B19" s="1055" t="s">
        <v>407</v>
      </c>
      <c r="C19" s="1056"/>
      <c r="D19" s="1056"/>
    </row>
    <row r="20" spans="1:4" s="1183" customFormat="1" ht="38.25">
      <c r="A20" s="1054" t="s">
        <v>765</v>
      </c>
      <c r="B20" s="1055" t="s">
        <v>408</v>
      </c>
      <c r="C20" s="1056"/>
      <c r="D20" s="1056"/>
    </row>
    <row r="21" spans="1:4" s="1183" customFormat="1" ht="25.5">
      <c r="A21" s="1054" t="s">
        <v>766</v>
      </c>
      <c r="B21" s="1055" t="s">
        <v>409</v>
      </c>
      <c r="C21" s="1056">
        <v>12194908</v>
      </c>
      <c r="D21" s="1056"/>
    </row>
    <row r="22" spans="1:4" s="1183" customFormat="1" ht="15.75">
      <c r="A22" s="1054" t="s">
        <v>767</v>
      </c>
      <c r="B22" s="1055" t="s">
        <v>616</v>
      </c>
      <c r="C22" s="1056">
        <v>39766736</v>
      </c>
      <c r="D22" s="1056">
        <v>4160689</v>
      </c>
    </row>
    <row r="23" spans="1:4" s="1183" customFormat="1" ht="15.75">
      <c r="A23" s="1057" t="s">
        <v>768</v>
      </c>
      <c r="B23" s="1058" t="s">
        <v>617</v>
      </c>
      <c r="C23" s="1061"/>
      <c r="D23" s="1061"/>
    </row>
    <row r="24" spans="1:4" s="1183" customFormat="1" ht="15.75">
      <c r="A24" s="1054" t="s">
        <v>769</v>
      </c>
      <c r="B24" s="1055" t="s">
        <v>619</v>
      </c>
      <c r="C24" s="1056"/>
      <c r="D24" s="1056"/>
    </row>
    <row r="25" spans="1:4" s="1183" customFormat="1" ht="15.75">
      <c r="A25" s="1054" t="s">
        <v>770</v>
      </c>
      <c r="B25" s="1055" t="s">
        <v>620</v>
      </c>
      <c r="C25" s="1056"/>
      <c r="D25" s="1056"/>
    </row>
    <row r="26" spans="1:4" s="1183" customFormat="1" ht="15.75">
      <c r="A26" s="1054" t="s">
        <v>771</v>
      </c>
      <c r="B26" s="1055" t="s">
        <v>627</v>
      </c>
      <c r="C26" s="1056"/>
      <c r="D26" s="1056"/>
    </row>
    <row r="27" spans="1:4" s="1183" customFormat="1" ht="15.75">
      <c r="A27" s="1054" t="s">
        <v>772</v>
      </c>
      <c r="B27" s="1055" t="s">
        <v>773</v>
      </c>
      <c r="C27" s="1056"/>
      <c r="D27" s="1056"/>
    </row>
    <row r="28" spans="1:4" s="1183" customFormat="1" ht="15.75">
      <c r="A28" s="1057" t="s">
        <v>774</v>
      </c>
      <c r="B28" s="1058" t="s">
        <v>775</v>
      </c>
      <c r="C28" s="1060">
        <f>SUM(C29:C32)</f>
        <v>161299684</v>
      </c>
      <c r="D28" s="1060">
        <f>SUM(D29:D32)</f>
        <v>161299684</v>
      </c>
    </row>
    <row r="29" spans="1:4" s="1183" customFormat="1" ht="15.75">
      <c r="A29" s="1054" t="s">
        <v>776</v>
      </c>
      <c r="B29" s="1055" t="s">
        <v>777</v>
      </c>
      <c r="C29" s="1056">
        <f>50836455+110463229</f>
        <v>161299684</v>
      </c>
      <c r="D29" s="1056">
        <f>+C29</f>
        <v>161299684</v>
      </c>
    </row>
    <row r="30" spans="1:4" s="1183" customFormat="1" ht="25.5">
      <c r="A30" s="1054" t="s">
        <v>778</v>
      </c>
      <c r="B30" s="1055" t="s">
        <v>779</v>
      </c>
      <c r="C30" s="1056"/>
      <c r="D30" s="1056"/>
    </row>
    <row r="31" spans="1:4" s="1183" customFormat="1" ht="15.75">
      <c r="A31" s="1054" t="s">
        <v>780</v>
      </c>
      <c r="B31" s="1055" t="s">
        <v>781</v>
      </c>
      <c r="C31" s="1056"/>
      <c r="D31" s="1056"/>
    </row>
    <row r="32" spans="1:4" s="1183" customFormat="1" ht="15.75">
      <c r="A32" s="1054" t="s">
        <v>782</v>
      </c>
      <c r="B32" s="1055" t="s">
        <v>783</v>
      </c>
      <c r="C32" s="1056"/>
      <c r="D32" s="1056"/>
    </row>
    <row r="33" spans="1:4" s="1183" customFormat="1" ht="15.75">
      <c r="A33" s="1057" t="s">
        <v>784</v>
      </c>
      <c r="B33" s="1058" t="s">
        <v>785</v>
      </c>
      <c r="C33" s="1061"/>
      <c r="D33" s="1061"/>
    </row>
    <row r="34" spans="1:4" s="1183" customFormat="1" ht="15.75">
      <c r="A34" s="1054" t="s">
        <v>786</v>
      </c>
      <c r="B34" s="1055" t="s">
        <v>787</v>
      </c>
      <c r="C34" s="1056"/>
      <c r="D34" s="1056"/>
    </row>
    <row r="35" spans="1:4" s="1183" customFormat="1" ht="25.5">
      <c r="A35" s="1054" t="s">
        <v>788</v>
      </c>
      <c r="B35" s="1055" t="s">
        <v>789</v>
      </c>
      <c r="C35" s="1056"/>
      <c r="D35" s="1056"/>
    </row>
    <row r="36" spans="1:4" s="1183" customFormat="1" ht="15.75">
      <c r="A36" s="1054" t="s">
        <v>790</v>
      </c>
      <c r="B36" s="1055" t="s">
        <v>791</v>
      </c>
      <c r="C36" s="1056"/>
      <c r="D36" s="1056"/>
    </row>
    <row r="37" spans="1:4" s="1183" customFormat="1" ht="15.75">
      <c r="A37" s="1054" t="s">
        <v>792</v>
      </c>
      <c r="B37" s="1055" t="s">
        <v>793</v>
      </c>
      <c r="C37" s="1056"/>
      <c r="D37" s="1056"/>
    </row>
    <row r="38" spans="1:4" s="1183" customFormat="1" ht="15.75">
      <c r="A38" s="1057" t="s">
        <v>794</v>
      </c>
      <c r="B38" s="1058" t="s">
        <v>795</v>
      </c>
      <c r="C38" s="1060">
        <f>SUM(C39+C44+C49)</f>
        <v>11580000</v>
      </c>
      <c r="D38" s="1060">
        <f>SUM(D39+D44+D49)</f>
        <v>11580000</v>
      </c>
    </row>
    <row r="39" spans="1:4" s="1183" customFormat="1" ht="15.75">
      <c r="A39" s="1057" t="s">
        <v>796</v>
      </c>
      <c r="B39" s="1058" t="s">
        <v>797</v>
      </c>
      <c r="C39" s="1060">
        <f>SUM(C40:C43)</f>
        <v>11580000</v>
      </c>
      <c r="D39" s="1060">
        <f>SUM(D40:D43)</f>
        <v>11580000</v>
      </c>
    </row>
    <row r="40" spans="1:4" s="1183" customFormat="1" ht="15.75">
      <c r="A40" s="1054" t="s">
        <v>798</v>
      </c>
      <c r="B40" s="1055" t="s">
        <v>799</v>
      </c>
      <c r="C40" s="1056"/>
      <c r="D40" s="1056"/>
    </row>
    <row r="41" spans="1:4" s="1183" customFormat="1" ht="25.5">
      <c r="A41" s="1054" t="s">
        <v>800</v>
      </c>
      <c r="B41" s="1055" t="s">
        <v>801</v>
      </c>
      <c r="C41" s="1056"/>
      <c r="D41" s="1056"/>
    </row>
    <row r="42" spans="1:4" s="1183" customFormat="1" ht="15.75">
      <c r="A42" s="1054" t="s">
        <v>802</v>
      </c>
      <c r="B42" s="1055" t="s">
        <v>803</v>
      </c>
      <c r="C42" s="1056">
        <v>11580000</v>
      </c>
      <c r="D42" s="1056">
        <v>11580000</v>
      </c>
    </row>
    <row r="43" spans="1:4" s="1183" customFormat="1" ht="15.75">
      <c r="A43" s="1054" t="s">
        <v>804</v>
      </c>
      <c r="B43" s="1055" t="s">
        <v>805</v>
      </c>
      <c r="C43" s="1056"/>
      <c r="D43" s="1056"/>
    </row>
    <row r="44" spans="1:4" s="1183" customFormat="1" ht="15.75">
      <c r="A44" s="1057" t="s">
        <v>806</v>
      </c>
      <c r="B44" s="1058" t="s">
        <v>807</v>
      </c>
      <c r="C44" s="1061"/>
      <c r="D44" s="1061"/>
    </row>
    <row r="45" spans="1:4" s="1183" customFormat="1" ht="15.75">
      <c r="A45" s="1054" t="s">
        <v>808</v>
      </c>
      <c r="B45" s="1055" t="s">
        <v>809</v>
      </c>
      <c r="C45" s="1056"/>
      <c r="D45" s="1056"/>
    </row>
    <row r="46" spans="1:4" s="1183" customFormat="1" ht="38.25">
      <c r="A46" s="1054" t="s">
        <v>810</v>
      </c>
      <c r="B46" s="1055" t="s">
        <v>811</v>
      </c>
      <c r="C46" s="1056"/>
      <c r="D46" s="1056"/>
    </row>
    <row r="47" spans="1:4" s="1183" customFormat="1" ht="25.5">
      <c r="A47" s="1054" t="s">
        <v>812</v>
      </c>
      <c r="B47" s="1055" t="s">
        <v>813</v>
      </c>
      <c r="C47" s="1056"/>
      <c r="D47" s="1056"/>
    </row>
    <row r="48" spans="1:4" s="1183" customFormat="1" ht="15.75">
      <c r="A48" s="1054" t="s">
        <v>814</v>
      </c>
      <c r="B48" s="1055" t="s">
        <v>815</v>
      </c>
      <c r="C48" s="1056"/>
      <c r="D48" s="1056"/>
    </row>
    <row r="49" spans="1:4" s="1183" customFormat="1" ht="15.75">
      <c r="A49" s="1057" t="s">
        <v>816</v>
      </c>
      <c r="B49" s="1058" t="s">
        <v>817</v>
      </c>
      <c r="C49" s="1061"/>
      <c r="D49" s="1061"/>
    </row>
    <row r="50" spans="1:4" s="1183" customFormat="1" ht="15.75">
      <c r="A50" s="1054" t="s">
        <v>818</v>
      </c>
      <c r="B50" s="1055" t="s">
        <v>819</v>
      </c>
      <c r="C50" s="1056"/>
      <c r="D50" s="1056"/>
    </row>
    <row r="51" spans="1:4" s="1183" customFormat="1" ht="36.75" customHeight="1">
      <c r="A51" s="1054" t="s">
        <v>820</v>
      </c>
      <c r="B51" s="1055" t="s">
        <v>821</v>
      </c>
      <c r="C51" s="1056"/>
      <c r="D51" s="1056"/>
    </row>
    <row r="52" spans="1:4" s="1183" customFormat="1" ht="25.5">
      <c r="A52" s="1054" t="s">
        <v>822</v>
      </c>
      <c r="B52" s="1055" t="s">
        <v>823</v>
      </c>
      <c r="C52" s="1056"/>
      <c r="D52" s="1056"/>
    </row>
    <row r="53" spans="1:4" s="1183" customFormat="1" ht="15.75">
      <c r="A53" s="1054" t="s">
        <v>824</v>
      </c>
      <c r="B53" s="1055" t="s">
        <v>825</v>
      </c>
      <c r="C53" s="1056"/>
      <c r="D53" s="1056"/>
    </row>
    <row r="54" spans="1:4" s="1183" customFormat="1" ht="15.75">
      <c r="A54" s="1057" t="s">
        <v>826</v>
      </c>
      <c r="B54" s="1055" t="s">
        <v>827</v>
      </c>
      <c r="C54" s="1056">
        <v>716064230</v>
      </c>
      <c r="D54" s="1056">
        <v>363207158</v>
      </c>
    </row>
    <row r="55" spans="1:4" ht="25.5">
      <c r="A55" s="1057" t="s">
        <v>828</v>
      </c>
      <c r="B55" s="1058" t="s">
        <v>829</v>
      </c>
      <c r="C55" s="1060">
        <f>SUM(C7+C12+C38+C54)</f>
        <v>2228279970</v>
      </c>
      <c r="D55" s="1060">
        <f>SUM(D7+D12+D38+D54)</f>
        <v>1481204897</v>
      </c>
    </row>
    <row r="56" spans="1:4" ht="15.75">
      <c r="A56" s="1057" t="s">
        <v>830</v>
      </c>
      <c r="B56" s="1055" t="s">
        <v>831</v>
      </c>
      <c r="C56" s="1062">
        <v>2640000</v>
      </c>
      <c r="D56" s="1062">
        <v>2640000</v>
      </c>
    </row>
    <row r="57" spans="1:4" ht="15.75">
      <c r="A57" s="1057" t="s">
        <v>832</v>
      </c>
      <c r="B57" s="1055" t="s">
        <v>833</v>
      </c>
      <c r="C57" s="1056">
        <v>0</v>
      </c>
      <c r="D57" s="1056">
        <v>0</v>
      </c>
    </row>
    <row r="58" spans="1:4" ht="15.75">
      <c r="A58" s="1057" t="s">
        <v>834</v>
      </c>
      <c r="B58" s="1058" t="s">
        <v>835</v>
      </c>
      <c r="C58" s="1060">
        <f>SUM(C56:C57)</f>
        <v>2640000</v>
      </c>
      <c r="D58" s="1060">
        <f>SUM(D56:D57)</f>
        <v>2640000</v>
      </c>
    </row>
    <row r="59" spans="1:4" ht="15.75">
      <c r="A59" s="1057" t="s">
        <v>836</v>
      </c>
      <c r="B59" s="1055" t="s">
        <v>837</v>
      </c>
      <c r="C59" s="1063"/>
      <c r="D59" s="1062"/>
    </row>
    <row r="60" spans="1:4" ht="15.75">
      <c r="A60" s="1057" t="s">
        <v>838</v>
      </c>
      <c r="B60" s="1055" t="s">
        <v>839</v>
      </c>
      <c r="C60" s="1063"/>
      <c r="D60" s="1062"/>
    </row>
    <row r="61" spans="1:4" ht="15.75">
      <c r="A61" s="1057" t="s">
        <v>840</v>
      </c>
      <c r="B61" s="1055" t="s">
        <v>841</v>
      </c>
      <c r="C61" s="1063"/>
      <c r="D61" s="1062">
        <v>189505897</v>
      </c>
    </row>
    <row r="62" spans="1:4" ht="15.75">
      <c r="A62" s="1057" t="s">
        <v>842</v>
      </c>
      <c r="B62" s="1055" t="s">
        <v>843</v>
      </c>
      <c r="C62" s="1063"/>
      <c r="D62" s="1062"/>
    </row>
    <row r="63" spans="1:4" ht="15.75">
      <c r="A63" s="1057" t="s">
        <v>844</v>
      </c>
      <c r="B63" s="1055" t="s">
        <v>845</v>
      </c>
      <c r="C63" s="1063"/>
      <c r="D63" s="1062"/>
    </row>
    <row r="64" spans="1:4" ht="15.75">
      <c r="A64" s="1057" t="s">
        <v>846</v>
      </c>
      <c r="B64" s="1058" t="s">
        <v>847</v>
      </c>
      <c r="C64" s="1064"/>
      <c r="D64" s="1060">
        <f>SUM(D59:D63)</f>
        <v>189505897</v>
      </c>
    </row>
    <row r="65" spans="1:4" ht="15.75">
      <c r="A65" s="1057" t="s">
        <v>848</v>
      </c>
      <c r="B65" s="1055" t="s">
        <v>849</v>
      </c>
      <c r="C65" s="1063"/>
      <c r="D65" s="1062">
        <v>2228079</v>
      </c>
    </row>
    <row r="66" spans="1:4" ht="15.75">
      <c r="A66" s="1057" t="s">
        <v>850</v>
      </c>
      <c r="B66" s="1055" t="s">
        <v>851</v>
      </c>
      <c r="C66" s="1063"/>
      <c r="D66" s="1062"/>
    </row>
    <row r="67" spans="1:4" ht="15.75">
      <c r="A67" s="1057" t="s">
        <v>852</v>
      </c>
      <c r="B67" s="1055" t="s">
        <v>853</v>
      </c>
      <c r="C67" s="1063"/>
      <c r="D67" s="1062">
        <v>67136491</v>
      </c>
    </row>
    <row r="68" spans="1:4" ht="15.75">
      <c r="A68" s="1057" t="s">
        <v>854</v>
      </c>
      <c r="B68" s="1058" t="s">
        <v>855</v>
      </c>
      <c r="C68" s="1064"/>
      <c r="D68" s="1060">
        <f>SUM(D65:D67)</f>
        <v>69364570</v>
      </c>
    </row>
    <row r="69" spans="1:4" ht="15.75">
      <c r="A69" s="1057" t="s">
        <v>856</v>
      </c>
      <c r="B69" s="1055" t="s">
        <v>857</v>
      </c>
      <c r="C69" s="1063"/>
      <c r="D69" s="1062"/>
    </row>
    <row r="70" spans="1:4" ht="25.5">
      <c r="A70" s="1057" t="s">
        <v>858</v>
      </c>
      <c r="B70" s="1055" t="s">
        <v>859</v>
      </c>
      <c r="C70" s="1063"/>
      <c r="D70" s="1062"/>
    </row>
    <row r="71" spans="1:4" ht="15.75">
      <c r="A71" s="1057" t="s">
        <v>860</v>
      </c>
      <c r="B71" s="1058" t="s">
        <v>861</v>
      </c>
      <c r="C71" s="1064"/>
      <c r="D71" s="1060"/>
    </row>
    <row r="72" spans="1:4" ht="15.75">
      <c r="A72" s="1057" t="s">
        <v>862</v>
      </c>
      <c r="B72" s="1058" t="s">
        <v>863</v>
      </c>
      <c r="C72" s="1063"/>
      <c r="D72" s="1062"/>
    </row>
    <row r="73" spans="1:4" ht="16.5" thickBot="1">
      <c r="A73" s="1065" t="s">
        <v>864</v>
      </c>
      <c r="B73" s="1058" t="s">
        <v>865</v>
      </c>
      <c r="C73" s="1066"/>
      <c r="D73" s="1066">
        <f>SUM(D68+D64+D58+D55+D71+D72)</f>
        <v>1742715364</v>
      </c>
    </row>
    <row r="74" spans="4:5" ht="15.75">
      <c r="D74" s="1777">
        <f>+C92-D73</f>
        <v>0</v>
      </c>
      <c r="E74" s="1778"/>
    </row>
    <row r="75" ht="16.5" thickBot="1"/>
    <row r="76" spans="1:3" ht="15.75">
      <c r="A76" s="1533" t="s">
        <v>866</v>
      </c>
      <c r="B76" s="1535" t="s">
        <v>6</v>
      </c>
      <c r="C76" s="1537" t="s">
        <v>867</v>
      </c>
    </row>
    <row r="77" spans="1:3" ht="15.75">
      <c r="A77" s="1534"/>
      <c r="B77" s="1536"/>
      <c r="C77" s="1538"/>
    </row>
    <row r="78" spans="1:3" ht="16.5" thickBot="1">
      <c r="A78" s="1068" t="s">
        <v>599</v>
      </c>
      <c r="B78" s="1069" t="s">
        <v>15</v>
      </c>
      <c r="C78" s="1070" t="s">
        <v>600</v>
      </c>
    </row>
    <row r="79" spans="1:3" ht="15.75">
      <c r="A79" s="1071" t="s">
        <v>868</v>
      </c>
      <c r="B79" s="1072" t="s">
        <v>744</v>
      </c>
      <c r="C79" s="1073">
        <f>+'12.sz.m.mérleg'!D185</f>
        <v>619978596</v>
      </c>
    </row>
    <row r="80" spans="1:3" ht="15.75">
      <c r="A80" s="1071" t="s">
        <v>869</v>
      </c>
      <c r="B80" s="1074" t="s">
        <v>746</v>
      </c>
      <c r="C80" s="1073">
        <f>+'12.sz.m.mérleg'!D186</f>
        <v>195202532</v>
      </c>
    </row>
    <row r="81" spans="1:3" ht="15.75">
      <c r="A81" s="1071" t="s">
        <v>870</v>
      </c>
      <c r="B81" s="1074" t="s">
        <v>748</v>
      </c>
      <c r="C81" s="1073">
        <f>+'12.sz.m.mérleg'!D187</f>
        <v>81973873</v>
      </c>
    </row>
    <row r="82" spans="1:3" ht="15.75">
      <c r="A82" s="1071" t="s">
        <v>871</v>
      </c>
      <c r="B82" s="1074" t="s">
        <v>750</v>
      </c>
      <c r="C82" s="1075">
        <f>+'12.sz.m.mérleg'!D188</f>
        <v>775922983</v>
      </c>
    </row>
    <row r="83" spans="1:3" ht="15.75">
      <c r="A83" s="1071" t="s">
        <v>872</v>
      </c>
      <c r="B83" s="1074" t="s">
        <v>752</v>
      </c>
      <c r="C83" s="1075">
        <f>'[4]12.sz.m.mérleg'!C192</f>
        <v>0</v>
      </c>
    </row>
    <row r="84" spans="1:3" ht="15.75">
      <c r="A84" s="1071" t="s">
        <v>873</v>
      </c>
      <c r="B84" s="1074" t="s">
        <v>754</v>
      </c>
      <c r="C84" s="1075">
        <f>+'12.sz.m.mérleg'!D190</f>
        <v>29277891</v>
      </c>
    </row>
    <row r="85" spans="1:3" ht="15.75">
      <c r="A85" s="1071" t="s">
        <v>874</v>
      </c>
      <c r="B85" s="1076" t="s">
        <v>756</v>
      </c>
      <c r="C85" s="1077">
        <f>SUM(C79:C84)</f>
        <v>1702355875</v>
      </c>
    </row>
    <row r="86" spans="1:3" ht="15.75">
      <c r="A86" s="1071" t="s">
        <v>875</v>
      </c>
      <c r="B86" s="1074" t="s">
        <v>758</v>
      </c>
      <c r="C86" s="1078">
        <f>+'12.sz.m.mérleg'!D217</f>
        <v>22824544</v>
      </c>
    </row>
    <row r="87" spans="1:3" ht="15.75">
      <c r="A87" s="1071" t="s">
        <v>876</v>
      </c>
      <c r="B87" s="1074" t="s">
        <v>760</v>
      </c>
      <c r="C87" s="1075">
        <f>+'12.sz.m.mérleg'!D241</f>
        <v>12580358</v>
      </c>
    </row>
    <row r="88" spans="1:3" ht="15.75">
      <c r="A88" s="1071" t="s">
        <v>877</v>
      </c>
      <c r="B88" s="1074" t="s">
        <v>403</v>
      </c>
      <c r="C88" s="1075">
        <f>+'12.sz.m.mérleg'!D251</f>
        <v>271336</v>
      </c>
    </row>
    <row r="89" spans="1:3" ht="15.75">
      <c r="A89" s="1071" t="s">
        <v>878</v>
      </c>
      <c r="B89" s="1076" t="s">
        <v>405</v>
      </c>
      <c r="C89" s="1077">
        <f>C86+C87+C88</f>
        <v>35676238</v>
      </c>
    </row>
    <row r="90" spans="1:3" ht="15.75">
      <c r="A90" s="1071" t="s">
        <v>879</v>
      </c>
      <c r="B90" s="1076" t="s">
        <v>406</v>
      </c>
      <c r="C90" s="1075"/>
    </row>
    <row r="91" spans="1:3" ht="15.75">
      <c r="A91" s="1071" t="s">
        <v>880</v>
      </c>
      <c r="B91" s="1076" t="s">
        <v>407</v>
      </c>
      <c r="C91" s="1079">
        <f>+'12.sz.m.mérleg'!D257</f>
        <v>4683251</v>
      </c>
    </row>
    <row r="92" spans="1:3" ht="16.5" thickBot="1">
      <c r="A92" s="1080" t="s">
        <v>881</v>
      </c>
      <c r="B92" s="1081" t="s">
        <v>408</v>
      </c>
      <c r="C92" s="1082">
        <f>C85+C89+C90+C91</f>
        <v>1742715364</v>
      </c>
    </row>
  </sheetData>
  <sheetProtection selectLockedCells="1" selectUnlockedCells="1"/>
  <mergeCells count="10">
    <mergeCell ref="A76:A77"/>
    <mergeCell ref="B76:B77"/>
    <mergeCell ref="C76:C77"/>
    <mergeCell ref="A1:D1"/>
    <mergeCell ref="C2:D2"/>
    <mergeCell ref="A3:A5"/>
    <mergeCell ref="B3:B5"/>
    <mergeCell ref="C3:C4"/>
    <mergeCell ref="D3:D4"/>
    <mergeCell ref="C5:D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94" r:id="rId1"/>
  <headerFooter alignWithMargins="0">
    <oddHeader>&amp;R13.a.számú melléklet</oddHeader>
    <oddFooter>&amp;C&amp;"Times New Roman,Normál"&amp;12Oldal &amp;P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7"/>
  </sheetPr>
  <dimension ref="A1:IV92"/>
  <sheetViews>
    <sheetView workbookViewId="0" topLeftCell="A1">
      <selection activeCell="A1" sqref="A1:D1"/>
    </sheetView>
  </sheetViews>
  <sheetFormatPr defaultColWidth="60.421875" defaultRowHeight="12.75"/>
  <cols>
    <col min="1" max="1" width="60.421875" style="1103" customWidth="1"/>
    <col min="2" max="2" width="5.57421875" style="1008" customWidth="1"/>
    <col min="3" max="3" width="12.421875" style="1103" customWidth="1"/>
    <col min="4" max="4" width="14.8515625" style="1103" customWidth="1"/>
    <col min="5" max="255" width="10.7109375" style="1004" customWidth="1"/>
    <col min="256" max="16384" width="60.421875" style="1004" customWidth="1"/>
  </cols>
  <sheetData>
    <row r="1" spans="1:256" ht="49.5" customHeight="1">
      <c r="A1" s="1545" t="s">
        <v>1453</v>
      </c>
      <c r="B1" s="1545"/>
      <c r="C1" s="1545"/>
      <c r="D1" s="1545"/>
      <c r="E1" s="1044"/>
      <c r="F1" s="1044"/>
      <c r="G1" s="1044"/>
      <c r="H1" s="1044"/>
      <c r="I1" s="1044"/>
      <c r="J1" s="1044"/>
      <c r="K1" s="1044"/>
      <c r="L1" s="1044"/>
      <c r="M1" s="1044"/>
      <c r="N1" s="1044"/>
      <c r="O1" s="1044"/>
      <c r="P1" s="1044"/>
      <c r="Q1" s="1044"/>
      <c r="R1" s="1044"/>
      <c r="S1" s="1044"/>
      <c r="T1" s="1044"/>
      <c r="U1" s="1044"/>
      <c r="V1" s="1044"/>
      <c r="W1" s="1044"/>
      <c r="X1" s="1044"/>
      <c r="Y1" s="1044"/>
      <c r="Z1" s="1044"/>
      <c r="AA1" s="1044"/>
      <c r="AB1" s="1044"/>
      <c r="AC1" s="1044"/>
      <c r="AD1" s="1044"/>
      <c r="AE1" s="1044"/>
      <c r="AF1" s="1044"/>
      <c r="AG1" s="1044"/>
      <c r="AH1" s="1044"/>
      <c r="AI1" s="1044"/>
      <c r="AJ1" s="1044"/>
      <c r="AK1" s="1044"/>
      <c r="AL1" s="1044"/>
      <c r="AM1" s="1044"/>
      <c r="AN1" s="1044"/>
      <c r="AO1" s="1044"/>
      <c r="AP1" s="1044"/>
      <c r="AQ1" s="1044"/>
      <c r="AR1" s="1044"/>
      <c r="AS1" s="1044"/>
      <c r="AT1" s="1044"/>
      <c r="AU1" s="1044"/>
      <c r="AV1" s="1044"/>
      <c r="AW1" s="1044"/>
      <c r="AX1" s="1044"/>
      <c r="AY1" s="1044"/>
      <c r="AZ1" s="1044"/>
      <c r="BA1" s="1044"/>
      <c r="BB1" s="1044"/>
      <c r="BC1" s="1044"/>
      <c r="BD1" s="1044"/>
      <c r="BE1" s="1044"/>
      <c r="BF1" s="1044"/>
      <c r="BG1" s="1044"/>
      <c r="BH1" s="1044"/>
      <c r="BI1" s="1044"/>
      <c r="BJ1" s="1044"/>
      <c r="BK1" s="1044"/>
      <c r="BL1" s="1044"/>
      <c r="BM1" s="1044"/>
      <c r="BN1" s="1044"/>
      <c r="BO1" s="1044"/>
      <c r="BP1" s="1044"/>
      <c r="BQ1" s="1044"/>
      <c r="BR1" s="1044"/>
      <c r="BS1" s="1044"/>
      <c r="BT1" s="1044"/>
      <c r="BU1" s="1044"/>
      <c r="BV1" s="1044"/>
      <c r="BW1" s="1044"/>
      <c r="BX1" s="1044"/>
      <c r="BY1" s="1044"/>
      <c r="BZ1" s="1044"/>
      <c r="CA1" s="1044"/>
      <c r="CB1" s="1044"/>
      <c r="CC1" s="1044"/>
      <c r="CD1" s="1044"/>
      <c r="CE1" s="1044"/>
      <c r="CF1" s="1044"/>
      <c r="CG1" s="1044"/>
      <c r="CH1" s="1044"/>
      <c r="CI1" s="1044"/>
      <c r="CJ1" s="1044"/>
      <c r="CK1" s="1044"/>
      <c r="CL1" s="1044"/>
      <c r="CM1" s="1044"/>
      <c r="CN1" s="1044"/>
      <c r="CO1" s="1044"/>
      <c r="CP1" s="1044"/>
      <c r="CQ1" s="1044"/>
      <c r="CR1" s="1044"/>
      <c r="CS1" s="1044"/>
      <c r="CT1" s="1044"/>
      <c r="CU1" s="1044"/>
      <c r="CV1" s="1044"/>
      <c r="CW1" s="1044"/>
      <c r="CX1" s="1044"/>
      <c r="CY1" s="1044"/>
      <c r="CZ1" s="1044"/>
      <c r="DA1" s="1044"/>
      <c r="DB1" s="1044"/>
      <c r="DC1" s="1044"/>
      <c r="DD1" s="1044"/>
      <c r="DE1" s="1044"/>
      <c r="DF1" s="1044"/>
      <c r="DG1" s="1044"/>
      <c r="DH1" s="1044"/>
      <c r="DI1" s="1044"/>
      <c r="DJ1" s="1044"/>
      <c r="DK1" s="1044"/>
      <c r="DL1" s="1044"/>
      <c r="DM1" s="1044"/>
      <c r="DN1" s="1044"/>
      <c r="DO1" s="1044"/>
      <c r="DP1" s="1044"/>
      <c r="DQ1" s="1044"/>
      <c r="DR1" s="1044"/>
      <c r="DS1" s="1044"/>
      <c r="DT1" s="1044"/>
      <c r="DU1" s="1044"/>
      <c r="DV1" s="1044"/>
      <c r="DW1" s="1044"/>
      <c r="DX1" s="1044"/>
      <c r="DY1" s="1044"/>
      <c r="DZ1" s="1044"/>
      <c r="EA1" s="1044"/>
      <c r="EB1" s="1044"/>
      <c r="EC1" s="1044"/>
      <c r="ED1" s="1044"/>
      <c r="EE1" s="1044"/>
      <c r="EF1" s="1044"/>
      <c r="EG1" s="1044"/>
      <c r="EH1" s="1044"/>
      <c r="EI1" s="1044"/>
      <c r="EJ1" s="1044"/>
      <c r="EK1" s="1044"/>
      <c r="EL1" s="1044"/>
      <c r="EM1" s="1044"/>
      <c r="EN1" s="1044"/>
      <c r="EO1" s="1044"/>
      <c r="EP1" s="1044"/>
      <c r="EQ1" s="1044"/>
      <c r="ER1" s="1044"/>
      <c r="ES1" s="1044"/>
      <c r="ET1" s="1044"/>
      <c r="EU1" s="1044"/>
      <c r="EV1" s="1044"/>
      <c r="EW1" s="1044"/>
      <c r="EX1" s="1044"/>
      <c r="EY1" s="1044"/>
      <c r="EZ1" s="1044"/>
      <c r="FA1" s="1044"/>
      <c r="FB1" s="1044"/>
      <c r="FC1" s="1044"/>
      <c r="FD1" s="1044"/>
      <c r="FE1" s="1044"/>
      <c r="FF1" s="1044"/>
      <c r="FG1" s="1044"/>
      <c r="FH1" s="1044"/>
      <c r="FI1" s="1044"/>
      <c r="FJ1" s="1044"/>
      <c r="FK1" s="1044"/>
      <c r="FL1" s="1044"/>
      <c r="FM1" s="1044"/>
      <c r="FN1" s="1044"/>
      <c r="FO1" s="1044"/>
      <c r="FP1" s="1044"/>
      <c r="FQ1" s="1044"/>
      <c r="FR1" s="1044"/>
      <c r="FS1" s="1044"/>
      <c r="FT1" s="1044"/>
      <c r="FU1" s="1044"/>
      <c r="FV1" s="1044"/>
      <c r="FW1" s="1044"/>
      <c r="FX1" s="1044"/>
      <c r="FY1" s="1044"/>
      <c r="FZ1" s="1044"/>
      <c r="GA1" s="1044"/>
      <c r="GB1" s="1044"/>
      <c r="GC1" s="1044"/>
      <c r="GD1" s="1044"/>
      <c r="GE1" s="1044"/>
      <c r="GF1" s="1044"/>
      <c r="GG1" s="1044"/>
      <c r="GH1" s="1044"/>
      <c r="GI1" s="1044"/>
      <c r="GJ1" s="1044"/>
      <c r="GK1" s="1044"/>
      <c r="GL1" s="1044"/>
      <c r="GM1" s="1044"/>
      <c r="GN1" s="1044"/>
      <c r="GO1" s="1044"/>
      <c r="GP1" s="1044"/>
      <c r="GQ1" s="1044"/>
      <c r="GR1" s="1044"/>
      <c r="GS1" s="1044"/>
      <c r="GT1" s="1044"/>
      <c r="GU1" s="1044"/>
      <c r="GV1" s="1044"/>
      <c r="GW1" s="1044"/>
      <c r="GX1" s="1044"/>
      <c r="GY1" s="1044"/>
      <c r="GZ1" s="1044"/>
      <c r="HA1" s="1044"/>
      <c r="HB1" s="1044"/>
      <c r="HC1" s="1044"/>
      <c r="HD1" s="1044"/>
      <c r="HE1" s="1044"/>
      <c r="HF1" s="1044"/>
      <c r="HG1" s="1044"/>
      <c r="HH1" s="1044"/>
      <c r="HI1" s="1044"/>
      <c r="HJ1" s="1044"/>
      <c r="HK1" s="1044"/>
      <c r="HL1" s="1044"/>
      <c r="HM1" s="1044"/>
      <c r="HN1" s="1044"/>
      <c r="HO1" s="1044"/>
      <c r="HP1" s="1044"/>
      <c r="HQ1" s="1044"/>
      <c r="HR1" s="1044"/>
      <c r="HS1" s="1044"/>
      <c r="HT1" s="1044"/>
      <c r="HU1" s="1044"/>
      <c r="HV1" s="1044"/>
      <c r="HW1" s="1044"/>
      <c r="HX1" s="1044"/>
      <c r="HY1" s="1044"/>
      <c r="HZ1" s="1044"/>
      <c r="IA1" s="1044"/>
      <c r="IB1" s="1044"/>
      <c r="IC1" s="1044"/>
      <c r="ID1" s="1044"/>
      <c r="IE1" s="1044"/>
      <c r="IF1" s="1044"/>
      <c r="IG1" s="1044"/>
      <c r="IH1" s="1044"/>
      <c r="II1" s="1044"/>
      <c r="IJ1" s="1044"/>
      <c r="IK1" s="1044"/>
      <c r="IL1" s="1044"/>
      <c r="IM1" s="1044"/>
      <c r="IN1" s="1044"/>
      <c r="IO1" s="1044"/>
      <c r="IP1" s="1044"/>
      <c r="IQ1" s="1044"/>
      <c r="IR1" s="1044"/>
      <c r="IS1" s="1044"/>
      <c r="IT1" s="1044"/>
      <c r="IU1" s="1044"/>
      <c r="IV1" s="1044"/>
    </row>
    <row r="2" spans="1:256" ht="16.5" thickBot="1">
      <c r="A2" s="1083" t="s">
        <v>882</v>
      </c>
      <c r="B2" s="1084"/>
      <c r="C2" s="1546" t="s">
        <v>737</v>
      </c>
      <c r="D2" s="1546"/>
      <c r="E2" s="1044"/>
      <c r="F2" s="1044"/>
      <c r="G2" s="1044"/>
      <c r="H2" s="1044"/>
      <c r="I2" s="1044"/>
      <c r="J2" s="1044"/>
      <c r="K2" s="1044"/>
      <c r="L2" s="1044"/>
      <c r="M2" s="1044"/>
      <c r="N2" s="1044"/>
      <c r="O2" s="1044"/>
      <c r="P2" s="1044"/>
      <c r="Q2" s="1044"/>
      <c r="R2" s="1044"/>
      <c r="S2" s="1044"/>
      <c r="T2" s="1044"/>
      <c r="U2" s="1044"/>
      <c r="V2" s="1044"/>
      <c r="W2" s="1044"/>
      <c r="X2" s="1044"/>
      <c r="Y2" s="1044"/>
      <c r="Z2" s="1044"/>
      <c r="AA2" s="1044"/>
      <c r="AB2" s="1044"/>
      <c r="AC2" s="1044"/>
      <c r="AD2" s="1044"/>
      <c r="AE2" s="1044"/>
      <c r="AF2" s="1044"/>
      <c r="AG2" s="1044"/>
      <c r="AH2" s="1044"/>
      <c r="AI2" s="1044"/>
      <c r="AJ2" s="1044"/>
      <c r="AK2" s="1044"/>
      <c r="AL2" s="1044"/>
      <c r="AM2" s="1044"/>
      <c r="AN2" s="1044"/>
      <c r="AO2" s="1044"/>
      <c r="AP2" s="1044"/>
      <c r="AQ2" s="1044"/>
      <c r="AR2" s="1044"/>
      <c r="AS2" s="1044"/>
      <c r="AT2" s="1044"/>
      <c r="AU2" s="1044"/>
      <c r="AV2" s="1044"/>
      <c r="AW2" s="1044"/>
      <c r="AX2" s="1044"/>
      <c r="AY2" s="1044"/>
      <c r="AZ2" s="1044"/>
      <c r="BA2" s="1044"/>
      <c r="BB2" s="1044"/>
      <c r="BC2" s="1044"/>
      <c r="BD2" s="1044"/>
      <c r="BE2" s="1044"/>
      <c r="BF2" s="1044"/>
      <c r="BG2" s="1044"/>
      <c r="BH2" s="1044"/>
      <c r="BI2" s="1044"/>
      <c r="BJ2" s="1044"/>
      <c r="BK2" s="1044"/>
      <c r="BL2" s="1044"/>
      <c r="BM2" s="1044"/>
      <c r="BN2" s="1044"/>
      <c r="BO2" s="1044"/>
      <c r="BP2" s="1044"/>
      <c r="BQ2" s="1044"/>
      <c r="BR2" s="1044"/>
      <c r="BS2" s="1044"/>
      <c r="BT2" s="1044"/>
      <c r="BU2" s="1044"/>
      <c r="BV2" s="1044"/>
      <c r="BW2" s="1044"/>
      <c r="BX2" s="1044"/>
      <c r="BY2" s="1044"/>
      <c r="BZ2" s="1044"/>
      <c r="CA2" s="1044"/>
      <c r="CB2" s="1044"/>
      <c r="CC2" s="1044"/>
      <c r="CD2" s="1044"/>
      <c r="CE2" s="1044"/>
      <c r="CF2" s="1044"/>
      <c r="CG2" s="1044"/>
      <c r="CH2" s="1044"/>
      <c r="CI2" s="1044"/>
      <c r="CJ2" s="1044"/>
      <c r="CK2" s="1044"/>
      <c r="CL2" s="1044"/>
      <c r="CM2" s="1044"/>
      <c r="CN2" s="1044"/>
      <c r="CO2" s="1044"/>
      <c r="CP2" s="1044"/>
      <c r="CQ2" s="1044"/>
      <c r="CR2" s="1044"/>
      <c r="CS2" s="1044"/>
      <c r="CT2" s="1044"/>
      <c r="CU2" s="1044"/>
      <c r="CV2" s="1044"/>
      <c r="CW2" s="1044"/>
      <c r="CX2" s="1044"/>
      <c r="CY2" s="1044"/>
      <c r="CZ2" s="1044"/>
      <c r="DA2" s="1044"/>
      <c r="DB2" s="1044"/>
      <c r="DC2" s="1044"/>
      <c r="DD2" s="1044"/>
      <c r="DE2" s="1044"/>
      <c r="DF2" s="1044"/>
      <c r="DG2" s="1044"/>
      <c r="DH2" s="1044"/>
      <c r="DI2" s="1044"/>
      <c r="DJ2" s="1044"/>
      <c r="DK2" s="1044"/>
      <c r="DL2" s="1044"/>
      <c r="DM2" s="1044"/>
      <c r="DN2" s="1044"/>
      <c r="DO2" s="1044"/>
      <c r="DP2" s="1044"/>
      <c r="DQ2" s="1044"/>
      <c r="DR2" s="1044"/>
      <c r="DS2" s="1044"/>
      <c r="DT2" s="1044"/>
      <c r="DU2" s="1044"/>
      <c r="DV2" s="1044"/>
      <c r="DW2" s="1044"/>
      <c r="DX2" s="1044"/>
      <c r="DY2" s="1044"/>
      <c r="DZ2" s="1044"/>
      <c r="EA2" s="1044"/>
      <c r="EB2" s="1044"/>
      <c r="EC2" s="1044"/>
      <c r="ED2" s="1044"/>
      <c r="EE2" s="1044"/>
      <c r="EF2" s="1044"/>
      <c r="EG2" s="1044"/>
      <c r="EH2" s="1044"/>
      <c r="EI2" s="1044"/>
      <c r="EJ2" s="1044"/>
      <c r="EK2" s="1044"/>
      <c r="EL2" s="1044"/>
      <c r="EM2" s="1044"/>
      <c r="EN2" s="1044"/>
      <c r="EO2" s="1044"/>
      <c r="EP2" s="1044"/>
      <c r="EQ2" s="1044"/>
      <c r="ER2" s="1044"/>
      <c r="ES2" s="1044"/>
      <c r="ET2" s="1044"/>
      <c r="EU2" s="1044"/>
      <c r="EV2" s="1044"/>
      <c r="EW2" s="1044"/>
      <c r="EX2" s="1044"/>
      <c r="EY2" s="1044"/>
      <c r="EZ2" s="1044"/>
      <c r="FA2" s="1044"/>
      <c r="FB2" s="1044"/>
      <c r="FC2" s="1044"/>
      <c r="FD2" s="1044"/>
      <c r="FE2" s="1044"/>
      <c r="FF2" s="1044"/>
      <c r="FG2" s="1044"/>
      <c r="FH2" s="1044"/>
      <c r="FI2" s="1044"/>
      <c r="FJ2" s="1044"/>
      <c r="FK2" s="1044"/>
      <c r="FL2" s="1044"/>
      <c r="FM2" s="1044"/>
      <c r="FN2" s="1044"/>
      <c r="FO2" s="1044"/>
      <c r="FP2" s="1044"/>
      <c r="FQ2" s="1044"/>
      <c r="FR2" s="1044"/>
      <c r="FS2" s="1044"/>
      <c r="FT2" s="1044"/>
      <c r="FU2" s="1044"/>
      <c r="FV2" s="1044"/>
      <c r="FW2" s="1044"/>
      <c r="FX2" s="1044"/>
      <c r="FY2" s="1044"/>
      <c r="FZ2" s="1044"/>
      <c r="GA2" s="1044"/>
      <c r="GB2" s="1044"/>
      <c r="GC2" s="1044"/>
      <c r="GD2" s="1044"/>
      <c r="GE2" s="1044"/>
      <c r="GF2" s="1044"/>
      <c r="GG2" s="1044"/>
      <c r="GH2" s="1044"/>
      <c r="GI2" s="1044"/>
      <c r="GJ2" s="1044"/>
      <c r="GK2" s="1044"/>
      <c r="GL2" s="1044"/>
      <c r="GM2" s="1044"/>
      <c r="GN2" s="1044"/>
      <c r="GO2" s="1044"/>
      <c r="GP2" s="1044"/>
      <c r="GQ2" s="1044"/>
      <c r="GR2" s="1044"/>
      <c r="GS2" s="1044"/>
      <c r="GT2" s="1044"/>
      <c r="GU2" s="1044"/>
      <c r="GV2" s="1044"/>
      <c r="GW2" s="1044"/>
      <c r="GX2" s="1044"/>
      <c r="GY2" s="1044"/>
      <c r="GZ2" s="1044"/>
      <c r="HA2" s="1044"/>
      <c r="HB2" s="1044"/>
      <c r="HC2" s="1044"/>
      <c r="HD2" s="1044"/>
      <c r="HE2" s="1044"/>
      <c r="HF2" s="1044"/>
      <c r="HG2" s="1044"/>
      <c r="HH2" s="1044"/>
      <c r="HI2" s="1044"/>
      <c r="HJ2" s="1044"/>
      <c r="HK2" s="1044"/>
      <c r="HL2" s="1044"/>
      <c r="HM2" s="1044"/>
      <c r="HN2" s="1044"/>
      <c r="HO2" s="1044"/>
      <c r="HP2" s="1044"/>
      <c r="HQ2" s="1044"/>
      <c r="HR2" s="1044"/>
      <c r="HS2" s="1044"/>
      <c r="HT2" s="1044"/>
      <c r="HU2" s="1044"/>
      <c r="HV2" s="1044"/>
      <c r="HW2" s="1044"/>
      <c r="HX2" s="1044"/>
      <c r="HY2" s="1044"/>
      <c r="HZ2" s="1044"/>
      <c r="IA2" s="1044"/>
      <c r="IB2" s="1044"/>
      <c r="IC2" s="1044"/>
      <c r="ID2" s="1044"/>
      <c r="IE2" s="1044"/>
      <c r="IF2" s="1044"/>
      <c r="IG2" s="1044"/>
      <c r="IH2" s="1044"/>
      <c r="II2" s="1044"/>
      <c r="IJ2" s="1044"/>
      <c r="IK2" s="1044"/>
      <c r="IL2" s="1044"/>
      <c r="IM2" s="1044"/>
      <c r="IN2" s="1044"/>
      <c r="IO2" s="1044"/>
      <c r="IP2" s="1044"/>
      <c r="IQ2" s="1044"/>
      <c r="IR2" s="1044"/>
      <c r="IS2" s="1044"/>
      <c r="IT2" s="1044"/>
      <c r="IU2" s="1044"/>
      <c r="IV2" s="1044"/>
    </row>
    <row r="3" spans="1:256" ht="15.75" customHeight="1" thickBot="1">
      <c r="A3" s="1547" t="s">
        <v>738</v>
      </c>
      <c r="B3" s="1548" t="s">
        <v>6</v>
      </c>
      <c r="C3" s="1549" t="s">
        <v>739</v>
      </c>
      <c r="D3" s="1549" t="s">
        <v>740</v>
      </c>
      <c r="E3" s="1044"/>
      <c r="F3" s="1044"/>
      <c r="G3" s="1044"/>
      <c r="H3" s="1044"/>
      <c r="I3" s="1044"/>
      <c r="J3" s="1044"/>
      <c r="K3" s="1044"/>
      <c r="L3" s="1044"/>
      <c r="M3" s="1044"/>
      <c r="N3" s="1044"/>
      <c r="O3" s="1044"/>
      <c r="P3" s="1044"/>
      <c r="Q3" s="1044"/>
      <c r="R3" s="1044"/>
      <c r="S3" s="1044"/>
      <c r="T3" s="1044"/>
      <c r="U3" s="1044"/>
      <c r="V3" s="1044"/>
      <c r="W3" s="1044"/>
      <c r="X3" s="1044"/>
      <c r="Y3" s="1044"/>
      <c r="Z3" s="1044"/>
      <c r="AA3" s="1044"/>
      <c r="AB3" s="1044"/>
      <c r="AC3" s="1044"/>
      <c r="AD3" s="1044"/>
      <c r="AE3" s="1044"/>
      <c r="AF3" s="1044"/>
      <c r="AG3" s="1044"/>
      <c r="AH3" s="1044"/>
      <c r="AI3" s="1044"/>
      <c r="AJ3" s="1044"/>
      <c r="AK3" s="1044"/>
      <c r="AL3" s="1044"/>
      <c r="AM3" s="1044"/>
      <c r="AN3" s="1044"/>
      <c r="AO3" s="1044"/>
      <c r="AP3" s="1044"/>
      <c r="AQ3" s="1044"/>
      <c r="AR3" s="1044"/>
      <c r="AS3" s="1044"/>
      <c r="AT3" s="1044"/>
      <c r="AU3" s="1044"/>
      <c r="AV3" s="1044"/>
      <c r="AW3" s="1044"/>
      <c r="AX3" s="1044"/>
      <c r="AY3" s="1044"/>
      <c r="AZ3" s="1044"/>
      <c r="BA3" s="1044"/>
      <c r="BB3" s="1044"/>
      <c r="BC3" s="1044"/>
      <c r="BD3" s="1044"/>
      <c r="BE3" s="1044"/>
      <c r="BF3" s="1044"/>
      <c r="BG3" s="1044"/>
      <c r="BH3" s="1044"/>
      <c r="BI3" s="1044"/>
      <c r="BJ3" s="1044"/>
      <c r="BK3" s="1044"/>
      <c r="BL3" s="1044"/>
      <c r="BM3" s="1044"/>
      <c r="BN3" s="1044"/>
      <c r="BO3" s="1044"/>
      <c r="BP3" s="1044"/>
      <c r="BQ3" s="1044"/>
      <c r="BR3" s="1044"/>
      <c r="BS3" s="1044"/>
      <c r="BT3" s="1044"/>
      <c r="BU3" s="1044"/>
      <c r="BV3" s="1044"/>
      <c r="BW3" s="1044"/>
      <c r="BX3" s="1044"/>
      <c r="BY3" s="1044"/>
      <c r="BZ3" s="1044"/>
      <c r="CA3" s="1044"/>
      <c r="CB3" s="1044"/>
      <c r="CC3" s="1044"/>
      <c r="CD3" s="1044"/>
      <c r="CE3" s="1044"/>
      <c r="CF3" s="1044"/>
      <c r="CG3" s="1044"/>
      <c r="CH3" s="1044"/>
      <c r="CI3" s="1044"/>
      <c r="CJ3" s="1044"/>
      <c r="CK3" s="1044"/>
      <c r="CL3" s="1044"/>
      <c r="CM3" s="1044"/>
      <c r="CN3" s="1044"/>
      <c r="CO3" s="1044"/>
      <c r="CP3" s="1044"/>
      <c r="CQ3" s="1044"/>
      <c r="CR3" s="1044"/>
      <c r="CS3" s="1044"/>
      <c r="CT3" s="1044"/>
      <c r="CU3" s="1044"/>
      <c r="CV3" s="1044"/>
      <c r="CW3" s="1044"/>
      <c r="CX3" s="1044"/>
      <c r="CY3" s="1044"/>
      <c r="CZ3" s="1044"/>
      <c r="DA3" s="1044"/>
      <c r="DB3" s="1044"/>
      <c r="DC3" s="1044"/>
      <c r="DD3" s="1044"/>
      <c r="DE3" s="1044"/>
      <c r="DF3" s="1044"/>
      <c r="DG3" s="1044"/>
      <c r="DH3" s="1044"/>
      <c r="DI3" s="1044"/>
      <c r="DJ3" s="1044"/>
      <c r="DK3" s="1044"/>
      <c r="DL3" s="1044"/>
      <c r="DM3" s="1044"/>
      <c r="DN3" s="1044"/>
      <c r="DO3" s="1044"/>
      <c r="DP3" s="1044"/>
      <c r="DQ3" s="1044"/>
      <c r="DR3" s="1044"/>
      <c r="DS3" s="1044"/>
      <c r="DT3" s="1044"/>
      <c r="DU3" s="1044"/>
      <c r="DV3" s="1044"/>
      <c r="DW3" s="1044"/>
      <c r="DX3" s="1044"/>
      <c r="DY3" s="1044"/>
      <c r="DZ3" s="1044"/>
      <c r="EA3" s="1044"/>
      <c r="EB3" s="1044"/>
      <c r="EC3" s="1044"/>
      <c r="ED3" s="1044"/>
      <c r="EE3" s="1044"/>
      <c r="EF3" s="1044"/>
      <c r="EG3" s="1044"/>
      <c r="EH3" s="1044"/>
      <c r="EI3" s="1044"/>
      <c r="EJ3" s="1044"/>
      <c r="EK3" s="1044"/>
      <c r="EL3" s="1044"/>
      <c r="EM3" s="1044"/>
      <c r="EN3" s="1044"/>
      <c r="EO3" s="1044"/>
      <c r="EP3" s="1044"/>
      <c r="EQ3" s="1044"/>
      <c r="ER3" s="1044"/>
      <c r="ES3" s="1044"/>
      <c r="ET3" s="1044"/>
      <c r="EU3" s="1044"/>
      <c r="EV3" s="1044"/>
      <c r="EW3" s="1044"/>
      <c r="EX3" s="1044"/>
      <c r="EY3" s="1044"/>
      <c r="EZ3" s="1044"/>
      <c r="FA3" s="1044"/>
      <c r="FB3" s="1044"/>
      <c r="FC3" s="1044"/>
      <c r="FD3" s="1044"/>
      <c r="FE3" s="1044"/>
      <c r="FF3" s="1044"/>
      <c r="FG3" s="1044"/>
      <c r="FH3" s="1044"/>
      <c r="FI3" s="1044"/>
      <c r="FJ3" s="1044"/>
      <c r="FK3" s="1044"/>
      <c r="FL3" s="1044"/>
      <c r="FM3" s="1044"/>
      <c r="FN3" s="1044"/>
      <c r="FO3" s="1044"/>
      <c r="FP3" s="1044"/>
      <c r="FQ3" s="1044"/>
      <c r="FR3" s="1044"/>
      <c r="FS3" s="1044"/>
      <c r="FT3" s="1044"/>
      <c r="FU3" s="1044"/>
      <c r="FV3" s="1044"/>
      <c r="FW3" s="1044"/>
      <c r="FX3" s="1044"/>
      <c r="FY3" s="1044"/>
      <c r="FZ3" s="1044"/>
      <c r="GA3" s="1044"/>
      <c r="GB3" s="1044"/>
      <c r="GC3" s="1044"/>
      <c r="GD3" s="1044"/>
      <c r="GE3" s="1044"/>
      <c r="GF3" s="1044"/>
      <c r="GG3" s="1044"/>
      <c r="GH3" s="1044"/>
      <c r="GI3" s="1044"/>
      <c r="GJ3" s="1044"/>
      <c r="GK3" s="1044"/>
      <c r="GL3" s="1044"/>
      <c r="GM3" s="1044"/>
      <c r="GN3" s="1044"/>
      <c r="GO3" s="1044"/>
      <c r="GP3" s="1044"/>
      <c r="GQ3" s="1044"/>
      <c r="GR3" s="1044"/>
      <c r="GS3" s="1044"/>
      <c r="GT3" s="1044"/>
      <c r="GU3" s="1044"/>
      <c r="GV3" s="1044"/>
      <c r="GW3" s="1044"/>
      <c r="GX3" s="1044"/>
      <c r="GY3" s="1044"/>
      <c r="GZ3" s="1044"/>
      <c r="HA3" s="1044"/>
      <c r="HB3" s="1044"/>
      <c r="HC3" s="1044"/>
      <c r="HD3" s="1044"/>
      <c r="HE3" s="1044"/>
      <c r="HF3" s="1044"/>
      <c r="HG3" s="1044"/>
      <c r="HH3" s="1044"/>
      <c r="HI3" s="1044"/>
      <c r="HJ3" s="1044"/>
      <c r="HK3" s="1044"/>
      <c r="HL3" s="1044"/>
      <c r="HM3" s="1044"/>
      <c r="HN3" s="1044"/>
      <c r="HO3" s="1044"/>
      <c r="HP3" s="1044"/>
      <c r="HQ3" s="1044"/>
      <c r="HR3" s="1044"/>
      <c r="HS3" s="1044"/>
      <c r="HT3" s="1044"/>
      <c r="HU3" s="1044"/>
      <c r="HV3" s="1044"/>
      <c r="HW3" s="1044"/>
      <c r="HX3" s="1044"/>
      <c r="HY3" s="1044"/>
      <c r="HZ3" s="1044"/>
      <c r="IA3" s="1044"/>
      <c r="IB3" s="1044"/>
      <c r="IC3" s="1044"/>
      <c r="ID3" s="1044"/>
      <c r="IE3" s="1044"/>
      <c r="IF3" s="1044"/>
      <c r="IG3" s="1044"/>
      <c r="IH3" s="1044"/>
      <c r="II3" s="1044"/>
      <c r="IJ3" s="1044"/>
      <c r="IK3" s="1044"/>
      <c r="IL3" s="1044"/>
      <c r="IM3" s="1044"/>
      <c r="IN3" s="1044"/>
      <c r="IO3" s="1044"/>
      <c r="IP3" s="1044"/>
      <c r="IQ3" s="1044"/>
      <c r="IR3" s="1044"/>
      <c r="IS3" s="1044"/>
      <c r="IT3" s="1044"/>
      <c r="IU3" s="1044"/>
      <c r="IV3" s="1044"/>
    </row>
    <row r="4" spans="1:256" ht="11.25" customHeight="1" thickBot="1">
      <c r="A4" s="1547"/>
      <c r="B4" s="1548"/>
      <c r="C4" s="1549"/>
      <c r="D4" s="1549"/>
      <c r="E4" s="1044"/>
      <c r="F4" s="1044"/>
      <c r="G4" s="1044"/>
      <c r="H4" s="1044"/>
      <c r="I4" s="1044"/>
      <c r="J4" s="1044"/>
      <c r="K4" s="1044"/>
      <c r="L4" s="1044"/>
      <c r="M4" s="1044"/>
      <c r="N4" s="1044"/>
      <c r="O4" s="1044"/>
      <c r="P4" s="1044"/>
      <c r="Q4" s="1044"/>
      <c r="R4" s="1044"/>
      <c r="S4" s="1044"/>
      <c r="T4" s="1044"/>
      <c r="U4" s="1044"/>
      <c r="V4" s="1044"/>
      <c r="W4" s="1044"/>
      <c r="X4" s="1044"/>
      <c r="Y4" s="1044"/>
      <c r="Z4" s="1044"/>
      <c r="AA4" s="1044"/>
      <c r="AB4" s="1044"/>
      <c r="AC4" s="1044"/>
      <c r="AD4" s="1044"/>
      <c r="AE4" s="1044"/>
      <c r="AF4" s="1044"/>
      <c r="AG4" s="1044"/>
      <c r="AH4" s="1044"/>
      <c r="AI4" s="1044"/>
      <c r="AJ4" s="1044"/>
      <c r="AK4" s="1044"/>
      <c r="AL4" s="1044"/>
      <c r="AM4" s="1044"/>
      <c r="AN4" s="1044"/>
      <c r="AO4" s="1044"/>
      <c r="AP4" s="1044"/>
      <c r="AQ4" s="1044"/>
      <c r="AR4" s="1044"/>
      <c r="AS4" s="1044"/>
      <c r="AT4" s="1044"/>
      <c r="AU4" s="1044"/>
      <c r="AV4" s="1044"/>
      <c r="AW4" s="1044"/>
      <c r="AX4" s="1044"/>
      <c r="AY4" s="1044"/>
      <c r="AZ4" s="1044"/>
      <c r="BA4" s="1044"/>
      <c r="BB4" s="1044"/>
      <c r="BC4" s="1044"/>
      <c r="BD4" s="1044"/>
      <c r="BE4" s="1044"/>
      <c r="BF4" s="1044"/>
      <c r="BG4" s="1044"/>
      <c r="BH4" s="1044"/>
      <c r="BI4" s="1044"/>
      <c r="BJ4" s="1044"/>
      <c r="BK4" s="1044"/>
      <c r="BL4" s="1044"/>
      <c r="BM4" s="1044"/>
      <c r="BN4" s="1044"/>
      <c r="BO4" s="1044"/>
      <c r="BP4" s="1044"/>
      <c r="BQ4" s="1044"/>
      <c r="BR4" s="1044"/>
      <c r="BS4" s="1044"/>
      <c r="BT4" s="1044"/>
      <c r="BU4" s="1044"/>
      <c r="BV4" s="1044"/>
      <c r="BW4" s="1044"/>
      <c r="BX4" s="1044"/>
      <c r="BY4" s="1044"/>
      <c r="BZ4" s="1044"/>
      <c r="CA4" s="1044"/>
      <c r="CB4" s="1044"/>
      <c r="CC4" s="1044"/>
      <c r="CD4" s="1044"/>
      <c r="CE4" s="1044"/>
      <c r="CF4" s="1044"/>
      <c r="CG4" s="1044"/>
      <c r="CH4" s="1044"/>
      <c r="CI4" s="1044"/>
      <c r="CJ4" s="1044"/>
      <c r="CK4" s="1044"/>
      <c r="CL4" s="1044"/>
      <c r="CM4" s="1044"/>
      <c r="CN4" s="1044"/>
      <c r="CO4" s="1044"/>
      <c r="CP4" s="1044"/>
      <c r="CQ4" s="1044"/>
      <c r="CR4" s="1044"/>
      <c r="CS4" s="1044"/>
      <c r="CT4" s="1044"/>
      <c r="CU4" s="1044"/>
      <c r="CV4" s="1044"/>
      <c r="CW4" s="1044"/>
      <c r="CX4" s="1044"/>
      <c r="CY4" s="1044"/>
      <c r="CZ4" s="1044"/>
      <c r="DA4" s="1044"/>
      <c r="DB4" s="1044"/>
      <c r="DC4" s="1044"/>
      <c r="DD4" s="1044"/>
      <c r="DE4" s="1044"/>
      <c r="DF4" s="1044"/>
      <c r="DG4" s="1044"/>
      <c r="DH4" s="1044"/>
      <c r="DI4" s="1044"/>
      <c r="DJ4" s="1044"/>
      <c r="DK4" s="1044"/>
      <c r="DL4" s="1044"/>
      <c r="DM4" s="1044"/>
      <c r="DN4" s="1044"/>
      <c r="DO4" s="1044"/>
      <c r="DP4" s="1044"/>
      <c r="DQ4" s="1044"/>
      <c r="DR4" s="1044"/>
      <c r="DS4" s="1044"/>
      <c r="DT4" s="1044"/>
      <c r="DU4" s="1044"/>
      <c r="DV4" s="1044"/>
      <c r="DW4" s="1044"/>
      <c r="DX4" s="1044"/>
      <c r="DY4" s="1044"/>
      <c r="DZ4" s="1044"/>
      <c r="EA4" s="1044"/>
      <c r="EB4" s="1044"/>
      <c r="EC4" s="1044"/>
      <c r="ED4" s="1044"/>
      <c r="EE4" s="1044"/>
      <c r="EF4" s="1044"/>
      <c r="EG4" s="1044"/>
      <c r="EH4" s="1044"/>
      <c r="EI4" s="1044"/>
      <c r="EJ4" s="1044"/>
      <c r="EK4" s="1044"/>
      <c r="EL4" s="1044"/>
      <c r="EM4" s="1044"/>
      <c r="EN4" s="1044"/>
      <c r="EO4" s="1044"/>
      <c r="EP4" s="1044"/>
      <c r="EQ4" s="1044"/>
      <c r="ER4" s="1044"/>
      <c r="ES4" s="1044"/>
      <c r="ET4" s="1044"/>
      <c r="EU4" s="1044"/>
      <c r="EV4" s="1044"/>
      <c r="EW4" s="1044"/>
      <c r="EX4" s="1044"/>
      <c r="EY4" s="1044"/>
      <c r="EZ4" s="1044"/>
      <c r="FA4" s="1044"/>
      <c r="FB4" s="1044"/>
      <c r="FC4" s="1044"/>
      <c r="FD4" s="1044"/>
      <c r="FE4" s="1044"/>
      <c r="FF4" s="1044"/>
      <c r="FG4" s="1044"/>
      <c r="FH4" s="1044"/>
      <c r="FI4" s="1044"/>
      <c r="FJ4" s="1044"/>
      <c r="FK4" s="1044"/>
      <c r="FL4" s="1044"/>
      <c r="FM4" s="1044"/>
      <c r="FN4" s="1044"/>
      <c r="FO4" s="1044"/>
      <c r="FP4" s="1044"/>
      <c r="FQ4" s="1044"/>
      <c r="FR4" s="1044"/>
      <c r="FS4" s="1044"/>
      <c r="FT4" s="1044"/>
      <c r="FU4" s="1044"/>
      <c r="FV4" s="1044"/>
      <c r="FW4" s="1044"/>
      <c r="FX4" s="1044"/>
      <c r="FY4" s="1044"/>
      <c r="FZ4" s="1044"/>
      <c r="GA4" s="1044"/>
      <c r="GB4" s="1044"/>
      <c r="GC4" s="1044"/>
      <c r="GD4" s="1044"/>
      <c r="GE4" s="1044"/>
      <c r="GF4" s="1044"/>
      <c r="GG4" s="1044"/>
      <c r="GH4" s="1044"/>
      <c r="GI4" s="1044"/>
      <c r="GJ4" s="1044"/>
      <c r="GK4" s="1044"/>
      <c r="GL4" s="1044"/>
      <c r="GM4" s="1044"/>
      <c r="GN4" s="1044"/>
      <c r="GO4" s="1044"/>
      <c r="GP4" s="1044"/>
      <c r="GQ4" s="1044"/>
      <c r="GR4" s="1044"/>
      <c r="GS4" s="1044"/>
      <c r="GT4" s="1044"/>
      <c r="GU4" s="1044"/>
      <c r="GV4" s="1044"/>
      <c r="GW4" s="1044"/>
      <c r="GX4" s="1044"/>
      <c r="GY4" s="1044"/>
      <c r="GZ4" s="1044"/>
      <c r="HA4" s="1044"/>
      <c r="HB4" s="1044"/>
      <c r="HC4" s="1044"/>
      <c r="HD4" s="1044"/>
      <c r="HE4" s="1044"/>
      <c r="HF4" s="1044"/>
      <c r="HG4" s="1044"/>
      <c r="HH4" s="1044"/>
      <c r="HI4" s="1044"/>
      <c r="HJ4" s="1044"/>
      <c r="HK4" s="1044"/>
      <c r="HL4" s="1044"/>
      <c r="HM4" s="1044"/>
      <c r="HN4" s="1044"/>
      <c r="HO4" s="1044"/>
      <c r="HP4" s="1044"/>
      <c r="HQ4" s="1044"/>
      <c r="HR4" s="1044"/>
      <c r="HS4" s="1044"/>
      <c r="HT4" s="1044"/>
      <c r="HU4" s="1044"/>
      <c r="HV4" s="1044"/>
      <c r="HW4" s="1044"/>
      <c r="HX4" s="1044"/>
      <c r="HY4" s="1044"/>
      <c r="HZ4" s="1044"/>
      <c r="IA4" s="1044"/>
      <c r="IB4" s="1044"/>
      <c r="IC4" s="1044"/>
      <c r="ID4" s="1044"/>
      <c r="IE4" s="1044"/>
      <c r="IF4" s="1044"/>
      <c r="IG4" s="1044"/>
      <c r="IH4" s="1044"/>
      <c r="II4" s="1044"/>
      <c r="IJ4" s="1044"/>
      <c r="IK4" s="1044"/>
      <c r="IL4" s="1044"/>
      <c r="IM4" s="1044"/>
      <c r="IN4" s="1044"/>
      <c r="IO4" s="1044"/>
      <c r="IP4" s="1044"/>
      <c r="IQ4" s="1044"/>
      <c r="IR4" s="1044"/>
      <c r="IS4" s="1044"/>
      <c r="IT4" s="1044"/>
      <c r="IU4" s="1044"/>
      <c r="IV4" s="1044"/>
    </row>
    <row r="5" spans="1:256" ht="12.75" customHeight="1">
      <c r="A5" s="1547"/>
      <c r="B5" s="1548"/>
      <c r="C5" s="1550" t="s">
        <v>741</v>
      </c>
      <c r="D5" s="1550"/>
      <c r="E5" s="1044"/>
      <c r="F5" s="1044"/>
      <c r="G5" s="1044"/>
      <c r="H5" s="1044"/>
      <c r="I5" s="1044"/>
      <c r="J5" s="1044"/>
      <c r="K5" s="1044"/>
      <c r="L5" s="1044"/>
      <c r="M5" s="1044"/>
      <c r="N5" s="1044"/>
      <c r="O5" s="1044"/>
      <c r="P5" s="1044"/>
      <c r="Q5" s="1044"/>
      <c r="R5" s="1044"/>
      <c r="S5" s="1044"/>
      <c r="T5" s="1044"/>
      <c r="U5" s="1044"/>
      <c r="V5" s="1044"/>
      <c r="W5" s="1044"/>
      <c r="X5" s="1044"/>
      <c r="Y5" s="1044"/>
      <c r="Z5" s="1044"/>
      <c r="AA5" s="1044"/>
      <c r="AB5" s="1044"/>
      <c r="AC5" s="1044"/>
      <c r="AD5" s="1044"/>
      <c r="AE5" s="1044"/>
      <c r="AF5" s="1044"/>
      <c r="AG5" s="1044"/>
      <c r="AH5" s="1044"/>
      <c r="AI5" s="1044"/>
      <c r="AJ5" s="1044"/>
      <c r="AK5" s="1044"/>
      <c r="AL5" s="1044"/>
      <c r="AM5" s="1044"/>
      <c r="AN5" s="1044"/>
      <c r="AO5" s="1044"/>
      <c r="AP5" s="1044"/>
      <c r="AQ5" s="1044"/>
      <c r="AR5" s="1044"/>
      <c r="AS5" s="1044"/>
      <c r="AT5" s="1044"/>
      <c r="AU5" s="1044"/>
      <c r="AV5" s="1044"/>
      <c r="AW5" s="1044"/>
      <c r="AX5" s="1044"/>
      <c r="AY5" s="1044"/>
      <c r="AZ5" s="1044"/>
      <c r="BA5" s="1044"/>
      <c r="BB5" s="1044"/>
      <c r="BC5" s="1044"/>
      <c r="BD5" s="1044"/>
      <c r="BE5" s="1044"/>
      <c r="BF5" s="1044"/>
      <c r="BG5" s="1044"/>
      <c r="BH5" s="1044"/>
      <c r="BI5" s="1044"/>
      <c r="BJ5" s="1044"/>
      <c r="BK5" s="1044"/>
      <c r="BL5" s="1044"/>
      <c r="BM5" s="1044"/>
      <c r="BN5" s="1044"/>
      <c r="BO5" s="1044"/>
      <c r="BP5" s="1044"/>
      <c r="BQ5" s="1044"/>
      <c r="BR5" s="1044"/>
      <c r="BS5" s="1044"/>
      <c r="BT5" s="1044"/>
      <c r="BU5" s="1044"/>
      <c r="BV5" s="1044"/>
      <c r="BW5" s="1044"/>
      <c r="BX5" s="1044"/>
      <c r="BY5" s="1044"/>
      <c r="BZ5" s="1044"/>
      <c r="CA5" s="1044"/>
      <c r="CB5" s="1044"/>
      <c r="CC5" s="1044"/>
      <c r="CD5" s="1044"/>
      <c r="CE5" s="1044"/>
      <c r="CF5" s="1044"/>
      <c r="CG5" s="1044"/>
      <c r="CH5" s="1044"/>
      <c r="CI5" s="1044"/>
      <c r="CJ5" s="1044"/>
      <c r="CK5" s="1044"/>
      <c r="CL5" s="1044"/>
      <c r="CM5" s="1044"/>
      <c r="CN5" s="1044"/>
      <c r="CO5" s="1044"/>
      <c r="CP5" s="1044"/>
      <c r="CQ5" s="1044"/>
      <c r="CR5" s="1044"/>
      <c r="CS5" s="1044"/>
      <c r="CT5" s="1044"/>
      <c r="CU5" s="1044"/>
      <c r="CV5" s="1044"/>
      <c r="CW5" s="1044"/>
      <c r="CX5" s="1044"/>
      <c r="CY5" s="1044"/>
      <c r="CZ5" s="1044"/>
      <c r="DA5" s="1044"/>
      <c r="DB5" s="1044"/>
      <c r="DC5" s="1044"/>
      <c r="DD5" s="1044"/>
      <c r="DE5" s="1044"/>
      <c r="DF5" s="1044"/>
      <c r="DG5" s="1044"/>
      <c r="DH5" s="1044"/>
      <c r="DI5" s="1044"/>
      <c r="DJ5" s="1044"/>
      <c r="DK5" s="1044"/>
      <c r="DL5" s="1044"/>
      <c r="DM5" s="1044"/>
      <c r="DN5" s="1044"/>
      <c r="DO5" s="1044"/>
      <c r="DP5" s="1044"/>
      <c r="DQ5" s="1044"/>
      <c r="DR5" s="1044"/>
      <c r="DS5" s="1044"/>
      <c r="DT5" s="1044"/>
      <c r="DU5" s="1044"/>
      <c r="DV5" s="1044"/>
      <c r="DW5" s="1044"/>
      <c r="DX5" s="1044"/>
      <c r="DY5" s="1044"/>
      <c r="DZ5" s="1044"/>
      <c r="EA5" s="1044"/>
      <c r="EB5" s="1044"/>
      <c r="EC5" s="1044"/>
      <c r="ED5" s="1044"/>
      <c r="EE5" s="1044"/>
      <c r="EF5" s="1044"/>
      <c r="EG5" s="1044"/>
      <c r="EH5" s="1044"/>
      <c r="EI5" s="1044"/>
      <c r="EJ5" s="1044"/>
      <c r="EK5" s="1044"/>
      <c r="EL5" s="1044"/>
      <c r="EM5" s="1044"/>
      <c r="EN5" s="1044"/>
      <c r="EO5" s="1044"/>
      <c r="EP5" s="1044"/>
      <c r="EQ5" s="1044"/>
      <c r="ER5" s="1044"/>
      <c r="ES5" s="1044"/>
      <c r="ET5" s="1044"/>
      <c r="EU5" s="1044"/>
      <c r="EV5" s="1044"/>
      <c r="EW5" s="1044"/>
      <c r="EX5" s="1044"/>
      <c r="EY5" s="1044"/>
      <c r="EZ5" s="1044"/>
      <c r="FA5" s="1044"/>
      <c r="FB5" s="1044"/>
      <c r="FC5" s="1044"/>
      <c r="FD5" s="1044"/>
      <c r="FE5" s="1044"/>
      <c r="FF5" s="1044"/>
      <c r="FG5" s="1044"/>
      <c r="FH5" s="1044"/>
      <c r="FI5" s="1044"/>
      <c r="FJ5" s="1044"/>
      <c r="FK5" s="1044"/>
      <c r="FL5" s="1044"/>
      <c r="FM5" s="1044"/>
      <c r="FN5" s="1044"/>
      <c r="FO5" s="1044"/>
      <c r="FP5" s="1044"/>
      <c r="FQ5" s="1044"/>
      <c r="FR5" s="1044"/>
      <c r="FS5" s="1044"/>
      <c r="FT5" s="1044"/>
      <c r="FU5" s="1044"/>
      <c r="FV5" s="1044"/>
      <c r="FW5" s="1044"/>
      <c r="FX5" s="1044"/>
      <c r="FY5" s="1044"/>
      <c r="FZ5" s="1044"/>
      <c r="GA5" s="1044"/>
      <c r="GB5" s="1044"/>
      <c r="GC5" s="1044"/>
      <c r="GD5" s="1044"/>
      <c r="GE5" s="1044"/>
      <c r="GF5" s="1044"/>
      <c r="GG5" s="1044"/>
      <c r="GH5" s="1044"/>
      <c r="GI5" s="1044"/>
      <c r="GJ5" s="1044"/>
      <c r="GK5" s="1044"/>
      <c r="GL5" s="1044"/>
      <c r="GM5" s="1044"/>
      <c r="GN5" s="1044"/>
      <c r="GO5" s="1044"/>
      <c r="GP5" s="1044"/>
      <c r="GQ5" s="1044"/>
      <c r="GR5" s="1044"/>
      <c r="GS5" s="1044"/>
      <c r="GT5" s="1044"/>
      <c r="GU5" s="1044"/>
      <c r="GV5" s="1044"/>
      <c r="GW5" s="1044"/>
      <c r="GX5" s="1044"/>
      <c r="GY5" s="1044"/>
      <c r="GZ5" s="1044"/>
      <c r="HA5" s="1044"/>
      <c r="HB5" s="1044"/>
      <c r="HC5" s="1044"/>
      <c r="HD5" s="1044"/>
      <c r="HE5" s="1044"/>
      <c r="HF5" s="1044"/>
      <c r="HG5" s="1044"/>
      <c r="HH5" s="1044"/>
      <c r="HI5" s="1044"/>
      <c r="HJ5" s="1044"/>
      <c r="HK5" s="1044"/>
      <c r="HL5" s="1044"/>
      <c r="HM5" s="1044"/>
      <c r="HN5" s="1044"/>
      <c r="HO5" s="1044"/>
      <c r="HP5" s="1044"/>
      <c r="HQ5" s="1044"/>
      <c r="HR5" s="1044"/>
      <c r="HS5" s="1044"/>
      <c r="HT5" s="1044"/>
      <c r="HU5" s="1044"/>
      <c r="HV5" s="1044"/>
      <c r="HW5" s="1044"/>
      <c r="HX5" s="1044"/>
      <c r="HY5" s="1044"/>
      <c r="HZ5" s="1044"/>
      <c r="IA5" s="1044"/>
      <c r="IB5" s="1044"/>
      <c r="IC5" s="1044"/>
      <c r="ID5" s="1044"/>
      <c r="IE5" s="1044"/>
      <c r="IF5" s="1044"/>
      <c r="IG5" s="1044"/>
      <c r="IH5" s="1044"/>
      <c r="II5" s="1044"/>
      <c r="IJ5" s="1044"/>
      <c r="IK5" s="1044"/>
      <c r="IL5" s="1044"/>
      <c r="IM5" s="1044"/>
      <c r="IN5" s="1044"/>
      <c r="IO5" s="1044"/>
      <c r="IP5" s="1044"/>
      <c r="IQ5" s="1044"/>
      <c r="IR5" s="1044"/>
      <c r="IS5" s="1044"/>
      <c r="IT5" s="1044"/>
      <c r="IU5" s="1044"/>
      <c r="IV5" s="1044"/>
    </row>
    <row r="6" spans="1:4" s="1049" customFormat="1" ht="16.5" thickBot="1">
      <c r="A6" s="1085" t="s">
        <v>742</v>
      </c>
      <c r="B6" s="1086" t="s">
        <v>15</v>
      </c>
      <c r="C6" s="1086" t="s">
        <v>600</v>
      </c>
      <c r="D6" s="1086" t="s">
        <v>601</v>
      </c>
    </row>
    <row r="7" spans="1:4" s="1053" customFormat="1" ht="15.75">
      <c r="A7" s="1087" t="s">
        <v>743</v>
      </c>
      <c r="B7" s="1088" t="s">
        <v>744</v>
      </c>
      <c r="C7" s="1089">
        <f>SUM(C8:C11)</f>
        <v>5286457</v>
      </c>
      <c r="D7" s="1089">
        <f>SUM(D8:D11)</f>
        <v>0</v>
      </c>
    </row>
    <row r="8" spans="1:4" s="1053" customFormat="1" ht="15.75">
      <c r="A8" s="1090" t="s">
        <v>745</v>
      </c>
      <c r="B8" s="1091" t="s">
        <v>746</v>
      </c>
      <c r="C8" s="1092"/>
      <c r="D8" s="1092"/>
    </row>
    <row r="9" spans="1:4" s="1053" customFormat="1" ht="47.25">
      <c r="A9" s="1090" t="s">
        <v>747</v>
      </c>
      <c r="B9" s="1091" t="s">
        <v>748</v>
      </c>
      <c r="C9" s="1092"/>
      <c r="D9" s="1092"/>
    </row>
    <row r="10" spans="1:4" s="1053" customFormat="1" ht="15.75">
      <c r="A10" s="1090" t="s">
        <v>749</v>
      </c>
      <c r="B10" s="1091" t="s">
        <v>750</v>
      </c>
      <c r="C10" s="1092">
        <v>3551893</v>
      </c>
      <c r="D10" s="1092"/>
    </row>
    <row r="11" spans="1:4" s="1053" customFormat="1" ht="15.75">
      <c r="A11" s="1090" t="s">
        <v>751</v>
      </c>
      <c r="B11" s="1091" t="s">
        <v>752</v>
      </c>
      <c r="C11" s="1092">
        <f>1616564+118000</f>
        <v>1734564</v>
      </c>
      <c r="D11" s="1092"/>
    </row>
    <row r="12" spans="1:4" s="1053" customFormat="1" ht="15.75">
      <c r="A12" s="1093" t="s">
        <v>753</v>
      </c>
      <c r="B12" s="1094" t="s">
        <v>754</v>
      </c>
      <c r="C12" s="1095">
        <f>SUM(C13+C18+C23+C28+C33)</f>
        <v>12618235</v>
      </c>
      <c r="D12" s="1095">
        <f>SUM(D13+D18+D23+D28+D33)</f>
        <v>84412</v>
      </c>
    </row>
    <row r="13" spans="1:4" s="1053" customFormat="1" ht="31.5">
      <c r="A13" s="1093" t="s">
        <v>755</v>
      </c>
      <c r="B13" s="1094" t="s">
        <v>756</v>
      </c>
      <c r="C13" s="1095">
        <f>SUM(C14:C17)</f>
        <v>0</v>
      </c>
      <c r="D13" s="1095">
        <f>SUM(D14:D17)</f>
        <v>0</v>
      </c>
    </row>
    <row r="14" spans="1:4" s="1053" customFormat="1" ht="31.5">
      <c r="A14" s="1090" t="s">
        <v>757</v>
      </c>
      <c r="B14" s="1091" t="s">
        <v>758</v>
      </c>
      <c r="C14" s="1092"/>
      <c r="D14" s="1092"/>
    </row>
    <row r="15" spans="1:4" s="1053" customFormat="1" ht="39" customHeight="1">
      <c r="A15" s="1090" t="s">
        <v>759</v>
      </c>
      <c r="B15" s="1091" t="s">
        <v>760</v>
      </c>
      <c r="C15" s="1092"/>
      <c r="D15" s="1092"/>
    </row>
    <row r="16" spans="1:4" s="1053" customFormat="1" ht="31.5">
      <c r="A16" s="1090" t="s">
        <v>761</v>
      </c>
      <c r="B16" s="1091" t="s">
        <v>403</v>
      </c>
      <c r="C16" s="1092"/>
      <c r="D16" s="1092"/>
    </row>
    <row r="17" spans="1:4" s="1053" customFormat="1" ht="15.75">
      <c r="A17" s="1090" t="s">
        <v>762</v>
      </c>
      <c r="B17" s="1091" t="s">
        <v>405</v>
      </c>
      <c r="C17" s="1092"/>
      <c r="D17" s="1092"/>
    </row>
    <row r="18" spans="1:4" s="1053" customFormat="1" ht="31.5">
      <c r="A18" s="1093" t="s">
        <v>763</v>
      </c>
      <c r="B18" s="1094" t="s">
        <v>406</v>
      </c>
      <c r="C18" s="1096">
        <f>SUM(C19:C22)</f>
        <v>12618235</v>
      </c>
      <c r="D18" s="1096">
        <f>SUM(D19:D22)</f>
        <v>84412</v>
      </c>
    </row>
    <row r="19" spans="1:4" s="1053" customFormat="1" ht="31.5">
      <c r="A19" s="1090" t="s">
        <v>764</v>
      </c>
      <c r="B19" s="1091" t="s">
        <v>407</v>
      </c>
      <c r="C19" s="1092"/>
      <c r="D19" s="1092"/>
    </row>
    <row r="20" spans="1:4" s="1053" customFormat="1" ht="47.25">
      <c r="A20" s="1090" t="s">
        <v>765</v>
      </c>
      <c r="B20" s="1091" t="s">
        <v>408</v>
      </c>
      <c r="C20" s="1092"/>
      <c r="D20" s="1092"/>
    </row>
    <row r="21" spans="1:4" s="1053" customFormat="1" ht="31.5">
      <c r="A21" s="1090" t="s">
        <v>766</v>
      </c>
      <c r="B21" s="1091" t="s">
        <v>409</v>
      </c>
      <c r="C21" s="1092"/>
      <c r="D21" s="1092"/>
    </row>
    <row r="22" spans="1:4" s="1053" customFormat="1" ht="15.75">
      <c r="A22" s="1090" t="s">
        <v>767</v>
      </c>
      <c r="B22" s="1091" t="s">
        <v>616</v>
      </c>
      <c r="C22" s="1092">
        <v>12618235</v>
      </c>
      <c r="D22" s="1092">
        <v>84412</v>
      </c>
    </row>
    <row r="23" spans="1:4" s="1053" customFormat="1" ht="15.75">
      <c r="A23" s="1093" t="s">
        <v>768</v>
      </c>
      <c r="B23" s="1094" t="s">
        <v>617</v>
      </c>
      <c r="C23" s="1097"/>
      <c r="D23" s="1097"/>
    </row>
    <row r="24" spans="1:4" s="1053" customFormat="1" ht="15.75">
      <c r="A24" s="1090" t="s">
        <v>769</v>
      </c>
      <c r="B24" s="1091" t="s">
        <v>619</v>
      </c>
      <c r="C24" s="1092"/>
      <c r="D24" s="1092"/>
    </row>
    <row r="25" spans="1:4" s="1053" customFormat="1" ht="31.5">
      <c r="A25" s="1090" t="s">
        <v>770</v>
      </c>
      <c r="B25" s="1091" t="s">
        <v>620</v>
      </c>
      <c r="C25" s="1092"/>
      <c r="D25" s="1092"/>
    </row>
    <row r="26" spans="1:4" s="1053" customFormat="1" ht="15.75">
      <c r="A26" s="1090" t="s">
        <v>771</v>
      </c>
      <c r="B26" s="1091" t="s">
        <v>627</v>
      </c>
      <c r="C26" s="1092"/>
      <c r="D26" s="1092"/>
    </row>
    <row r="27" spans="1:4" s="1053" customFormat="1" ht="15.75">
      <c r="A27" s="1090" t="s">
        <v>772</v>
      </c>
      <c r="B27" s="1091" t="s">
        <v>773</v>
      </c>
      <c r="C27" s="1092"/>
      <c r="D27" s="1092"/>
    </row>
    <row r="28" spans="1:4" s="1053" customFormat="1" ht="15.75">
      <c r="A28" s="1093" t="s">
        <v>774</v>
      </c>
      <c r="B28" s="1094" t="s">
        <v>775</v>
      </c>
      <c r="C28" s="1096">
        <f>SUM(C29:C32)</f>
        <v>0</v>
      </c>
      <c r="D28" s="1096">
        <f>SUM(D29:D32)</f>
        <v>0</v>
      </c>
    </row>
    <row r="29" spans="1:4" s="1053" customFormat="1" ht="15.75">
      <c r="A29" s="1090" t="s">
        <v>776</v>
      </c>
      <c r="B29" s="1091" t="s">
        <v>777</v>
      </c>
      <c r="C29" s="1092"/>
      <c r="D29" s="1092"/>
    </row>
    <row r="30" spans="1:4" s="1053" customFormat="1" ht="31.5">
      <c r="A30" s="1090" t="s">
        <v>778</v>
      </c>
      <c r="B30" s="1091" t="s">
        <v>779</v>
      </c>
      <c r="C30" s="1092"/>
      <c r="D30" s="1092"/>
    </row>
    <row r="31" spans="1:4" s="1053" customFormat="1" ht="15.75">
      <c r="A31" s="1090" t="s">
        <v>780</v>
      </c>
      <c r="B31" s="1091" t="s">
        <v>781</v>
      </c>
      <c r="C31" s="1092"/>
      <c r="D31" s="1092"/>
    </row>
    <row r="32" spans="1:4" s="1053" customFormat="1" ht="15.75">
      <c r="A32" s="1090" t="s">
        <v>782</v>
      </c>
      <c r="B32" s="1091" t="s">
        <v>783</v>
      </c>
      <c r="C32" s="1092"/>
      <c r="D32" s="1092"/>
    </row>
    <row r="33" spans="1:4" s="1053" customFormat="1" ht="15.75">
      <c r="A33" s="1093" t="s">
        <v>784</v>
      </c>
      <c r="B33" s="1094" t="s">
        <v>785</v>
      </c>
      <c r="C33" s="1097"/>
      <c r="D33" s="1097"/>
    </row>
    <row r="34" spans="1:4" s="1053" customFormat="1" ht="15.75">
      <c r="A34" s="1090" t="s">
        <v>786</v>
      </c>
      <c r="B34" s="1091" t="s">
        <v>787</v>
      </c>
      <c r="C34" s="1092"/>
      <c r="D34" s="1092"/>
    </row>
    <row r="35" spans="1:4" s="1053" customFormat="1" ht="47.25">
      <c r="A35" s="1090" t="s">
        <v>788</v>
      </c>
      <c r="B35" s="1091" t="s">
        <v>789</v>
      </c>
      <c r="C35" s="1092"/>
      <c r="D35" s="1092"/>
    </row>
    <row r="36" spans="1:4" s="1053" customFormat="1" ht="31.5">
      <c r="A36" s="1090" t="s">
        <v>790</v>
      </c>
      <c r="B36" s="1091" t="s">
        <v>791</v>
      </c>
      <c r="C36" s="1092"/>
      <c r="D36" s="1092"/>
    </row>
    <row r="37" spans="1:4" s="1053" customFormat="1" ht="15.75">
      <c r="A37" s="1090" t="s">
        <v>792</v>
      </c>
      <c r="B37" s="1091" t="s">
        <v>793</v>
      </c>
      <c r="C37" s="1092"/>
      <c r="D37" s="1092"/>
    </row>
    <row r="38" spans="1:4" s="1053" customFormat="1" ht="15.75">
      <c r="A38" s="1093" t="s">
        <v>794</v>
      </c>
      <c r="B38" s="1094" t="s">
        <v>795</v>
      </c>
      <c r="C38" s="1096">
        <f>SUM(C39+C44+C49)</f>
        <v>0</v>
      </c>
      <c r="D38" s="1096">
        <f>SUM(D39+D44+D49)</f>
        <v>0</v>
      </c>
    </row>
    <row r="39" spans="1:4" s="1053" customFormat="1" ht="15.75">
      <c r="A39" s="1093" t="s">
        <v>796</v>
      </c>
      <c r="B39" s="1094" t="s">
        <v>797</v>
      </c>
      <c r="C39" s="1096">
        <f>SUM(C40:C43)</f>
        <v>0</v>
      </c>
      <c r="D39" s="1096">
        <f>SUM(D40:D43)</f>
        <v>0</v>
      </c>
    </row>
    <row r="40" spans="1:4" s="1053" customFormat="1" ht="15.75">
      <c r="A40" s="1090" t="s">
        <v>798</v>
      </c>
      <c r="B40" s="1091" t="s">
        <v>799</v>
      </c>
      <c r="C40" s="1092"/>
      <c r="D40" s="1092"/>
    </row>
    <row r="41" spans="1:4" s="1053" customFormat="1" ht="31.5">
      <c r="A41" s="1090" t="s">
        <v>800</v>
      </c>
      <c r="B41" s="1091" t="s">
        <v>801</v>
      </c>
      <c r="C41" s="1092"/>
      <c r="D41" s="1092"/>
    </row>
    <row r="42" spans="1:4" s="1053" customFormat="1" ht="15.75">
      <c r="A42" s="1090" t="s">
        <v>802</v>
      </c>
      <c r="B42" s="1091" t="s">
        <v>803</v>
      </c>
      <c r="C42" s="1092"/>
      <c r="D42" s="1092"/>
    </row>
    <row r="43" spans="1:4" s="1053" customFormat="1" ht="15.75">
      <c r="A43" s="1090" t="s">
        <v>804</v>
      </c>
      <c r="B43" s="1091" t="s">
        <v>805</v>
      </c>
      <c r="C43" s="1092"/>
      <c r="D43" s="1092"/>
    </row>
    <row r="44" spans="1:4" s="1053" customFormat="1" ht="31.5">
      <c r="A44" s="1093" t="s">
        <v>806</v>
      </c>
      <c r="B44" s="1094" t="s">
        <v>807</v>
      </c>
      <c r="C44" s="1097"/>
      <c r="D44" s="1097"/>
    </row>
    <row r="45" spans="1:4" s="1053" customFormat="1" ht="31.5">
      <c r="A45" s="1090" t="s">
        <v>808</v>
      </c>
      <c r="B45" s="1091" t="s">
        <v>809</v>
      </c>
      <c r="C45" s="1092"/>
      <c r="D45" s="1092"/>
    </row>
    <row r="46" spans="1:4" s="1053" customFormat="1" ht="47.25">
      <c r="A46" s="1090" t="s">
        <v>810</v>
      </c>
      <c r="B46" s="1091" t="s">
        <v>811</v>
      </c>
      <c r="C46" s="1092"/>
      <c r="D46" s="1092"/>
    </row>
    <row r="47" spans="1:4" s="1053" customFormat="1" ht="31.5">
      <c r="A47" s="1090" t="s">
        <v>812</v>
      </c>
      <c r="B47" s="1091" t="s">
        <v>813</v>
      </c>
      <c r="C47" s="1092"/>
      <c r="D47" s="1092"/>
    </row>
    <row r="48" spans="1:4" s="1053" customFormat="1" ht="15.75">
      <c r="A48" s="1090" t="s">
        <v>814</v>
      </c>
      <c r="B48" s="1091" t="s">
        <v>815</v>
      </c>
      <c r="C48" s="1092"/>
      <c r="D48" s="1092"/>
    </row>
    <row r="49" spans="1:4" s="1053" customFormat="1" ht="31.5">
      <c r="A49" s="1093" t="s">
        <v>816</v>
      </c>
      <c r="B49" s="1094" t="s">
        <v>817</v>
      </c>
      <c r="C49" s="1097"/>
      <c r="D49" s="1097"/>
    </row>
    <row r="50" spans="1:4" s="1053" customFormat="1" ht="31.5">
      <c r="A50" s="1090" t="s">
        <v>818</v>
      </c>
      <c r="B50" s="1091" t="s">
        <v>819</v>
      </c>
      <c r="C50" s="1092"/>
      <c r="D50" s="1092"/>
    </row>
    <row r="51" spans="1:4" s="1053" customFormat="1" ht="47.25">
      <c r="A51" s="1090" t="s">
        <v>820</v>
      </c>
      <c r="B51" s="1091" t="s">
        <v>821</v>
      </c>
      <c r="C51" s="1092"/>
      <c r="D51" s="1092"/>
    </row>
    <row r="52" spans="1:4" s="1053" customFormat="1" ht="31.5">
      <c r="A52" s="1090" t="s">
        <v>822</v>
      </c>
      <c r="B52" s="1091" t="s">
        <v>823</v>
      </c>
      <c r="C52" s="1092"/>
      <c r="D52" s="1092"/>
    </row>
    <row r="53" spans="1:4" s="1053" customFormat="1" ht="15.75">
      <c r="A53" s="1090" t="s">
        <v>824</v>
      </c>
      <c r="B53" s="1091" t="s">
        <v>825</v>
      </c>
      <c r="C53" s="1092"/>
      <c r="D53" s="1092"/>
    </row>
    <row r="54" spans="1:4" s="1053" customFormat="1" ht="15.75">
      <c r="A54" s="1093" t="s">
        <v>826</v>
      </c>
      <c r="B54" s="1091" t="s">
        <v>827</v>
      </c>
      <c r="C54" s="1092"/>
      <c r="D54" s="1092"/>
    </row>
    <row r="55" spans="1:4" ht="47.25">
      <c r="A55" s="1093" t="s">
        <v>828</v>
      </c>
      <c r="B55" s="1094" t="s">
        <v>829</v>
      </c>
      <c r="C55" s="1096">
        <f>SUM(C7+C12+C38+C54)</f>
        <v>17904692</v>
      </c>
      <c r="D55" s="1096">
        <f>SUM(D7+D12+D38+D54)</f>
        <v>84412</v>
      </c>
    </row>
    <row r="56" spans="1:4" ht="15.75">
      <c r="A56" s="1093" t="s">
        <v>830</v>
      </c>
      <c r="B56" s="1091" t="s">
        <v>831</v>
      </c>
      <c r="C56" s="1098"/>
      <c r="D56" s="1098"/>
    </row>
    <row r="57" spans="1:4" ht="15.75">
      <c r="A57" s="1093" t="s">
        <v>832</v>
      </c>
      <c r="B57" s="1091" t="s">
        <v>833</v>
      </c>
      <c r="C57" s="1092"/>
      <c r="D57" s="1092"/>
    </row>
    <row r="58" spans="1:4" ht="31.5">
      <c r="A58" s="1093" t="s">
        <v>834</v>
      </c>
      <c r="B58" s="1094" t="s">
        <v>835</v>
      </c>
      <c r="C58" s="1096"/>
      <c r="D58" s="1096"/>
    </row>
    <row r="59" spans="1:4" ht="15.75">
      <c r="A59" s="1093" t="s">
        <v>836</v>
      </c>
      <c r="B59" s="1091" t="s">
        <v>837</v>
      </c>
      <c r="C59" s="1099"/>
      <c r="D59" s="1098"/>
    </row>
    <row r="60" spans="1:4" ht="15.75">
      <c r="A60" s="1093" t="s">
        <v>838</v>
      </c>
      <c r="B60" s="1091" t="s">
        <v>839</v>
      </c>
      <c r="C60" s="1099"/>
      <c r="D60" s="1098"/>
    </row>
    <row r="61" spans="1:4" ht="15.75">
      <c r="A61" s="1093" t="s">
        <v>840</v>
      </c>
      <c r="B61" s="1091" t="s">
        <v>841</v>
      </c>
      <c r="C61" s="1099"/>
      <c r="D61" s="1098">
        <v>900462</v>
      </c>
    </row>
    <row r="62" spans="1:4" ht="15.75">
      <c r="A62" s="1093" t="s">
        <v>842</v>
      </c>
      <c r="B62" s="1091" t="s">
        <v>843</v>
      </c>
      <c r="C62" s="1099"/>
      <c r="D62" s="1098"/>
    </row>
    <row r="63" spans="1:4" ht="15.75">
      <c r="A63" s="1093" t="s">
        <v>844</v>
      </c>
      <c r="B63" s="1091" t="s">
        <v>845</v>
      </c>
      <c r="C63" s="1099"/>
      <c r="D63" s="1098"/>
    </row>
    <row r="64" spans="1:4" ht="15.75">
      <c r="A64" s="1093" t="s">
        <v>846</v>
      </c>
      <c r="B64" s="1094" t="s">
        <v>847</v>
      </c>
      <c r="C64" s="1100"/>
      <c r="D64" s="1096">
        <f>SUM(D59:D63)</f>
        <v>900462</v>
      </c>
    </row>
    <row r="65" spans="1:4" ht="15.75">
      <c r="A65" s="1093" t="s">
        <v>848</v>
      </c>
      <c r="B65" s="1091" t="s">
        <v>849</v>
      </c>
      <c r="C65" s="1099"/>
      <c r="D65" s="1098"/>
    </row>
    <row r="66" spans="1:4" ht="15.75">
      <c r="A66" s="1093" t="s">
        <v>850</v>
      </c>
      <c r="B66" s="1091" t="s">
        <v>851</v>
      </c>
      <c r="C66" s="1099"/>
      <c r="D66" s="1098"/>
    </row>
    <row r="67" spans="1:4" ht="15.75">
      <c r="A67" s="1093" t="s">
        <v>852</v>
      </c>
      <c r="B67" s="1091" t="s">
        <v>853</v>
      </c>
      <c r="C67" s="1099"/>
      <c r="D67" s="1098">
        <v>564</v>
      </c>
    </row>
    <row r="68" spans="1:4" ht="15.75">
      <c r="A68" s="1093" t="s">
        <v>854</v>
      </c>
      <c r="B68" s="1094" t="s">
        <v>855</v>
      </c>
      <c r="C68" s="1100"/>
      <c r="D68" s="1096">
        <f>SUM(D65:D67)</f>
        <v>564</v>
      </c>
    </row>
    <row r="69" spans="1:4" ht="15.75">
      <c r="A69" s="1093" t="s">
        <v>856</v>
      </c>
      <c r="B69" s="1091" t="s">
        <v>857</v>
      </c>
      <c r="C69" s="1099"/>
      <c r="D69" s="1098"/>
    </row>
    <row r="70" spans="1:4" ht="47.25">
      <c r="A70" s="1093" t="s">
        <v>858</v>
      </c>
      <c r="B70" s="1091" t="s">
        <v>859</v>
      </c>
      <c r="C70" s="1099"/>
      <c r="D70" s="1098"/>
    </row>
    <row r="71" spans="1:4" ht="31.5">
      <c r="A71" s="1093" t="s">
        <v>860</v>
      </c>
      <c r="B71" s="1094" t="s">
        <v>861</v>
      </c>
      <c r="C71" s="1100"/>
      <c r="D71" s="1096"/>
    </row>
    <row r="72" spans="1:4" ht="15.75">
      <c r="A72" s="1093" t="s">
        <v>862</v>
      </c>
      <c r="B72" s="1094" t="s">
        <v>863</v>
      </c>
      <c r="C72" s="1099"/>
      <c r="D72" s="1098"/>
    </row>
    <row r="73" spans="1:4" ht="16.5" thickBot="1">
      <c r="A73" s="1101" t="s">
        <v>864</v>
      </c>
      <c r="B73" s="1094" t="s">
        <v>865</v>
      </c>
      <c r="C73" s="1102"/>
      <c r="D73" s="1102">
        <f>SUM(D68+D64+D58+D55+D71+D72+D56)</f>
        <v>985438</v>
      </c>
    </row>
    <row r="75" ht="16.5" thickBot="1"/>
    <row r="76" spans="1:3" ht="15.75">
      <c r="A76" s="1533" t="s">
        <v>866</v>
      </c>
      <c r="B76" s="1535" t="s">
        <v>6</v>
      </c>
      <c r="C76" s="1537" t="s">
        <v>867</v>
      </c>
    </row>
    <row r="77" spans="1:3" ht="15.75">
      <c r="A77" s="1534"/>
      <c r="B77" s="1536"/>
      <c r="C77" s="1538"/>
    </row>
    <row r="78" spans="1:3" ht="16.5" thickBot="1">
      <c r="A78" s="1068" t="s">
        <v>599</v>
      </c>
      <c r="B78" s="1069" t="s">
        <v>15</v>
      </c>
      <c r="C78" s="1070" t="s">
        <v>600</v>
      </c>
    </row>
    <row r="79" spans="1:3" ht="15.75">
      <c r="A79" s="1071" t="s">
        <v>868</v>
      </c>
      <c r="B79" s="1072" t="s">
        <v>744</v>
      </c>
      <c r="C79" s="1073">
        <f>+'12.sz.m.mérleg'!F185</f>
        <v>2204204</v>
      </c>
    </row>
    <row r="80" spans="1:3" ht="15.75">
      <c r="A80" s="1071" t="s">
        <v>869</v>
      </c>
      <c r="B80" s="1074" t="s">
        <v>746</v>
      </c>
      <c r="C80" s="1073">
        <f>+'[3]12.sz.m.mérleg'!F186</f>
        <v>0</v>
      </c>
    </row>
    <row r="81" spans="1:3" ht="15.75">
      <c r="A81" s="1071" t="s">
        <v>870</v>
      </c>
      <c r="B81" s="1074" t="s">
        <v>748</v>
      </c>
      <c r="C81" s="1073">
        <f>+'12.sz.m.mérleg'!F187</f>
        <v>14503886</v>
      </c>
    </row>
    <row r="82" spans="1:3" ht="15.75">
      <c r="A82" s="1071" t="s">
        <v>871</v>
      </c>
      <c r="B82" s="1074" t="s">
        <v>750</v>
      </c>
      <c r="C82" s="1073">
        <f>+'12.sz.m.mérleg'!F188</f>
        <v>-22232314</v>
      </c>
    </row>
    <row r="83" spans="1:3" ht="15.75">
      <c r="A83" s="1071" t="s">
        <v>872</v>
      </c>
      <c r="B83" s="1074" t="s">
        <v>752</v>
      </c>
      <c r="C83" s="1075">
        <f>'[4]12.sz.m.mérleg'!C192</f>
        <v>0</v>
      </c>
    </row>
    <row r="84" spans="1:3" ht="15.75">
      <c r="A84" s="1071" t="s">
        <v>873</v>
      </c>
      <c r="B84" s="1074" t="s">
        <v>754</v>
      </c>
      <c r="C84" s="1075">
        <f>+'12.sz.m.mérleg'!F190</f>
        <v>391826</v>
      </c>
    </row>
    <row r="85" spans="1:3" ht="15.75">
      <c r="A85" s="1071" t="s">
        <v>874</v>
      </c>
      <c r="B85" s="1076" t="s">
        <v>756</v>
      </c>
      <c r="C85" s="1077">
        <f>SUM(C79:C84)</f>
        <v>-5132398</v>
      </c>
    </row>
    <row r="86" spans="1:3" ht="15.75">
      <c r="A86" s="1071" t="s">
        <v>875</v>
      </c>
      <c r="B86" s="1074" t="s">
        <v>758</v>
      </c>
      <c r="C86" s="1078">
        <f>+'[3]12.sz.m.mérleg'!F220</f>
        <v>0</v>
      </c>
    </row>
    <row r="87" spans="1:3" ht="15.75">
      <c r="A87" s="1071" t="s">
        <v>876</v>
      </c>
      <c r="B87" s="1074" t="s">
        <v>760</v>
      </c>
      <c r="C87" s="1075">
        <f>+'[3]12.sz.m.mérleg'!F244</f>
        <v>0</v>
      </c>
    </row>
    <row r="88" spans="1:3" ht="15.75">
      <c r="A88" s="1071" t="s">
        <v>877</v>
      </c>
      <c r="B88" s="1074" t="s">
        <v>403</v>
      </c>
      <c r="C88" s="1075">
        <f>+'[3]12.sz.m.mérleg'!F255</f>
        <v>0</v>
      </c>
    </row>
    <row r="89" spans="1:3" ht="15.75">
      <c r="A89" s="1071" t="s">
        <v>878</v>
      </c>
      <c r="B89" s="1076" t="s">
        <v>405</v>
      </c>
      <c r="C89" s="1077">
        <f>C86+C87+C88</f>
        <v>0</v>
      </c>
    </row>
    <row r="90" spans="1:3" ht="15.75">
      <c r="A90" s="1071" t="s">
        <v>879</v>
      </c>
      <c r="B90" s="1076" t="s">
        <v>406</v>
      </c>
      <c r="C90" s="1075"/>
    </row>
    <row r="91" spans="1:3" ht="15.75">
      <c r="A91" s="1071" t="s">
        <v>880</v>
      </c>
      <c r="B91" s="1076" t="s">
        <v>407</v>
      </c>
      <c r="C91" s="1079">
        <f>+'12.sz.m.mérleg'!F257</f>
        <v>6117836</v>
      </c>
    </row>
    <row r="92" spans="1:3" ht="16.5" thickBot="1">
      <c r="A92" s="1080" t="s">
        <v>881</v>
      </c>
      <c r="B92" s="1081" t="s">
        <v>408</v>
      </c>
      <c r="C92" s="1082">
        <f>C85+C89+C90+C91</f>
        <v>985438</v>
      </c>
    </row>
  </sheetData>
  <sheetProtection selectLockedCells="1" selectUnlockedCells="1"/>
  <mergeCells count="10">
    <mergeCell ref="A76:A77"/>
    <mergeCell ref="B76:B77"/>
    <mergeCell ref="C76:C77"/>
    <mergeCell ref="A1:D1"/>
    <mergeCell ref="C2:D2"/>
    <mergeCell ref="A3:A5"/>
    <mergeCell ref="B3:B5"/>
    <mergeCell ref="C3:C4"/>
    <mergeCell ref="D3:D4"/>
    <mergeCell ref="C5:D5"/>
  </mergeCells>
  <printOptions/>
  <pageMargins left="0.7875" right="0.7875" top="1.0527777777777778" bottom="1.0527777777777778" header="0.7875" footer="0.7875"/>
  <pageSetup horizontalDpi="300" verticalDpi="300" orientation="portrait" paperSize="9" scale="94" r:id="rId1"/>
  <headerFooter alignWithMargins="0">
    <oddHeader>&amp;R13.b.számú melléklet</oddHeader>
    <oddFooter>&amp;C&amp;"Times New Roman,Normál"&amp;12Oldal &amp;P</oddFoot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7"/>
  </sheetPr>
  <dimension ref="A1:IV92"/>
  <sheetViews>
    <sheetView workbookViewId="0" topLeftCell="A73">
      <selection activeCell="C79" sqref="C79:C92"/>
    </sheetView>
  </sheetViews>
  <sheetFormatPr defaultColWidth="60.421875" defaultRowHeight="12.75"/>
  <cols>
    <col min="1" max="1" width="60.421875" style="1103" customWidth="1"/>
    <col min="2" max="2" width="5.57421875" style="1103" customWidth="1"/>
    <col min="3" max="3" width="13.28125" style="1103" customWidth="1"/>
    <col min="4" max="4" width="14.8515625" style="1103" customWidth="1"/>
    <col min="5" max="255" width="10.7109375" style="1103" customWidth="1"/>
    <col min="256" max="16384" width="60.421875" style="1103" customWidth="1"/>
  </cols>
  <sheetData>
    <row r="1" spans="1:256" ht="49.5" customHeight="1">
      <c r="A1" s="1545" t="s">
        <v>1453</v>
      </c>
      <c r="B1" s="1545"/>
      <c r="C1" s="1545"/>
      <c r="D1" s="1545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6"/>
      <c r="AL1" s="1046"/>
      <c r="AM1" s="1046"/>
      <c r="AN1" s="1046"/>
      <c r="AO1" s="1046"/>
      <c r="AP1" s="1046"/>
      <c r="AQ1" s="1046"/>
      <c r="AR1" s="1046"/>
      <c r="AS1" s="1046"/>
      <c r="AT1" s="1046"/>
      <c r="AU1" s="1046"/>
      <c r="AV1" s="1046"/>
      <c r="AW1" s="1046"/>
      <c r="AX1" s="1046"/>
      <c r="AY1" s="1046"/>
      <c r="AZ1" s="1046"/>
      <c r="BA1" s="1046"/>
      <c r="BB1" s="1046"/>
      <c r="BC1" s="1046"/>
      <c r="BD1" s="1046"/>
      <c r="BE1" s="1046"/>
      <c r="BF1" s="1046"/>
      <c r="BG1" s="1046"/>
      <c r="BH1" s="1046"/>
      <c r="BI1" s="1046"/>
      <c r="BJ1" s="1046"/>
      <c r="BK1" s="1046"/>
      <c r="BL1" s="1046"/>
      <c r="BM1" s="1046"/>
      <c r="BN1" s="1046"/>
      <c r="BO1" s="1046"/>
      <c r="BP1" s="1046"/>
      <c r="BQ1" s="1046"/>
      <c r="BR1" s="1046"/>
      <c r="BS1" s="1046"/>
      <c r="BT1" s="1046"/>
      <c r="BU1" s="1046"/>
      <c r="BV1" s="1046"/>
      <c r="BW1" s="1046"/>
      <c r="BX1" s="1046"/>
      <c r="BY1" s="1046"/>
      <c r="BZ1" s="1046"/>
      <c r="CA1" s="1046"/>
      <c r="CB1" s="1046"/>
      <c r="CC1" s="1046"/>
      <c r="CD1" s="1046"/>
      <c r="CE1" s="1046"/>
      <c r="CF1" s="1046"/>
      <c r="CG1" s="1046"/>
      <c r="CH1" s="1046"/>
      <c r="CI1" s="1046"/>
      <c r="CJ1" s="1046"/>
      <c r="CK1" s="1046"/>
      <c r="CL1" s="1046"/>
      <c r="CM1" s="1046"/>
      <c r="CN1" s="1046"/>
      <c r="CO1" s="1046"/>
      <c r="CP1" s="1046"/>
      <c r="CQ1" s="1046"/>
      <c r="CR1" s="1046"/>
      <c r="CS1" s="1046"/>
      <c r="CT1" s="1046"/>
      <c r="CU1" s="1046"/>
      <c r="CV1" s="1046"/>
      <c r="CW1" s="1046"/>
      <c r="CX1" s="1046"/>
      <c r="CY1" s="1046"/>
      <c r="CZ1" s="1046"/>
      <c r="DA1" s="1046"/>
      <c r="DB1" s="1046"/>
      <c r="DC1" s="1046"/>
      <c r="DD1" s="1046"/>
      <c r="DE1" s="1046"/>
      <c r="DF1" s="1046"/>
      <c r="DG1" s="1046"/>
      <c r="DH1" s="1046"/>
      <c r="DI1" s="1046"/>
      <c r="DJ1" s="1046"/>
      <c r="DK1" s="1046"/>
      <c r="DL1" s="1046"/>
      <c r="DM1" s="1046"/>
      <c r="DN1" s="1046"/>
      <c r="DO1" s="1046"/>
      <c r="DP1" s="1046"/>
      <c r="DQ1" s="1046"/>
      <c r="DR1" s="1046"/>
      <c r="DS1" s="1046"/>
      <c r="DT1" s="1046"/>
      <c r="DU1" s="1046"/>
      <c r="DV1" s="1046"/>
      <c r="DW1" s="1046"/>
      <c r="DX1" s="1046"/>
      <c r="DY1" s="1046"/>
      <c r="DZ1" s="1046"/>
      <c r="EA1" s="1046"/>
      <c r="EB1" s="1046"/>
      <c r="EC1" s="1046"/>
      <c r="ED1" s="1046"/>
      <c r="EE1" s="1046"/>
      <c r="EF1" s="1046"/>
      <c r="EG1" s="1046"/>
      <c r="EH1" s="1046"/>
      <c r="EI1" s="1046"/>
      <c r="EJ1" s="1046"/>
      <c r="EK1" s="1046"/>
      <c r="EL1" s="1046"/>
      <c r="EM1" s="1046"/>
      <c r="EN1" s="1046"/>
      <c r="EO1" s="1046"/>
      <c r="EP1" s="1046"/>
      <c r="EQ1" s="1046"/>
      <c r="ER1" s="1046"/>
      <c r="ES1" s="1046"/>
      <c r="ET1" s="1046"/>
      <c r="EU1" s="1046"/>
      <c r="EV1" s="1046"/>
      <c r="EW1" s="1046"/>
      <c r="EX1" s="1046"/>
      <c r="EY1" s="1046"/>
      <c r="EZ1" s="1046"/>
      <c r="FA1" s="1046"/>
      <c r="FB1" s="1046"/>
      <c r="FC1" s="1046"/>
      <c r="FD1" s="1046"/>
      <c r="FE1" s="1046"/>
      <c r="FF1" s="1046"/>
      <c r="FG1" s="1046"/>
      <c r="FH1" s="1046"/>
      <c r="FI1" s="1046"/>
      <c r="FJ1" s="1046"/>
      <c r="FK1" s="1046"/>
      <c r="FL1" s="1046"/>
      <c r="FM1" s="1046"/>
      <c r="FN1" s="1046"/>
      <c r="FO1" s="1046"/>
      <c r="FP1" s="1046"/>
      <c r="FQ1" s="1046"/>
      <c r="FR1" s="1046"/>
      <c r="FS1" s="1046"/>
      <c r="FT1" s="1046"/>
      <c r="FU1" s="1046"/>
      <c r="FV1" s="1046"/>
      <c r="FW1" s="1046"/>
      <c r="FX1" s="1046"/>
      <c r="FY1" s="1046"/>
      <c r="FZ1" s="1046"/>
      <c r="GA1" s="1046"/>
      <c r="GB1" s="1046"/>
      <c r="GC1" s="1046"/>
      <c r="GD1" s="1046"/>
      <c r="GE1" s="1046"/>
      <c r="GF1" s="1046"/>
      <c r="GG1" s="1046"/>
      <c r="GH1" s="1046"/>
      <c r="GI1" s="1046"/>
      <c r="GJ1" s="1046"/>
      <c r="GK1" s="1046"/>
      <c r="GL1" s="1046"/>
      <c r="GM1" s="1046"/>
      <c r="GN1" s="1046"/>
      <c r="GO1" s="1046"/>
      <c r="GP1" s="1046"/>
      <c r="GQ1" s="1046"/>
      <c r="GR1" s="1046"/>
      <c r="GS1" s="1046"/>
      <c r="GT1" s="1046"/>
      <c r="GU1" s="1046"/>
      <c r="GV1" s="1046"/>
      <c r="GW1" s="1046"/>
      <c r="GX1" s="1046"/>
      <c r="GY1" s="1046"/>
      <c r="GZ1" s="1046"/>
      <c r="HA1" s="1046"/>
      <c r="HB1" s="1046"/>
      <c r="HC1" s="1046"/>
      <c r="HD1" s="1046"/>
      <c r="HE1" s="1046"/>
      <c r="HF1" s="1046"/>
      <c r="HG1" s="1046"/>
      <c r="HH1" s="1046"/>
      <c r="HI1" s="1046"/>
      <c r="HJ1" s="1046"/>
      <c r="HK1" s="1046"/>
      <c r="HL1" s="1046"/>
      <c r="HM1" s="1046"/>
      <c r="HN1" s="1046"/>
      <c r="HO1" s="1046"/>
      <c r="HP1" s="1046"/>
      <c r="HQ1" s="1046"/>
      <c r="HR1" s="1046"/>
      <c r="HS1" s="1046"/>
      <c r="HT1" s="1046"/>
      <c r="HU1" s="1046"/>
      <c r="HV1" s="1046"/>
      <c r="HW1" s="1046"/>
      <c r="HX1" s="1046"/>
      <c r="HY1" s="1046"/>
      <c r="HZ1" s="1046"/>
      <c r="IA1" s="1046"/>
      <c r="IB1" s="1046"/>
      <c r="IC1" s="1046"/>
      <c r="ID1" s="1046"/>
      <c r="IE1" s="1046"/>
      <c r="IF1" s="1046"/>
      <c r="IG1" s="1046"/>
      <c r="IH1" s="1046"/>
      <c r="II1" s="1046"/>
      <c r="IJ1" s="1046"/>
      <c r="IK1" s="1046"/>
      <c r="IL1" s="1046"/>
      <c r="IM1" s="1046"/>
      <c r="IN1" s="1046"/>
      <c r="IO1" s="1046"/>
      <c r="IP1" s="1046"/>
      <c r="IQ1" s="1046"/>
      <c r="IR1" s="1046"/>
      <c r="IS1" s="1046"/>
      <c r="IT1" s="1046"/>
      <c r="IU1" s="1046"/>
      <c r="IV1" s="1046"/>
    </row>
    <row r="2" spans="1:256" ht="16.5" thickBot="1">
      <c r="A2" s="1083" t="s">
        <v>214</v>
      </c>
      <c r="B2" s="1084"/>
      <c r="C2" s="1546" t="s">
        <v>737</v>
      </c>
      <c r="D2" s="1546"/>
      <c r="E2" s="1046"/>
      <c r="F2" s="1046"/>
      <c r="G2" s="1046"/>
      <c r="H2" s="1046"/>
      <c r="I2" s="1046"/>
      <c r="J2" s="1046"/>
      <c r="K2" s="1046"/>
      <c r="L2" s="1046"/>
      <c r="M2" s="1046"/>
      <c r="N2" s="1046"/>
      <c r="O2" s="1046"/>
      <c r="P2" s="1046"/>
      <c r="Q2" s="1046"/>
      <c r="R2" s="1046"/>
      <c r="S2" s="1046"/>
      <c r="T2" s="1046"/>
      <c r="U2" s="1046"/>
      <c r="V2" s="1046"/>
      <c r="W2" s="1046"/>
      <c r="X2" s="1046"/>
      <c r="Y2" s="1046"/>
      <c r="Z2" s="1046"/>
      <c r="AA2" s="1046"/>
      <c r="AB2" s="1046"/>
      <c r="AC2" s="1046"/>
      <c r="AD2" s="1046"/>
      <c r="AE2" s="1046"/>
      <c r="AF2" s="1046"/>
      <c r="AG2" s="1046"/>
      <c r="AH2" s="1046"/>
      <c r="AI2" s="1046"/>
      <c r="AJ2" s="1046"/>
      <c r="AK2" s="1046"/>
      <c r="AL2" s="1046"/>
      <c r="AM2" s="1046"/>
      <c r="AN2" s="1046"/>
      <c r="AO2" s="1046"/>
      <c r="AP2" s="1046"/>
      <c r="AQ2" s="1046"/>
      <c r="AR2" s="1046"/>
      <c r="AS2" s="1046"/>
      <c r="AT2" s="1046"/>
      <c r="AU2" s="1046"/>
      <c r="AV2" s="1046"/>
      <c r="AW2" s="1046"/>
      <c r="AX2" s="1046"/>
      <c r="AY2" s="1046"/>
      <c r="AZ2" s="1046"/>
      <c r="BA2" s="1046"/>
      <c r="BB2" s="1046"/>
      <c r="BC2" s="1046"/>
      <c r="BD2" s="1046"/>
      <c r="BE2" s="1046"/>
      <c r="BF2" s="1046"/>
      <c r="BG2" s="1046"/>
      <c r="BH2" s="1046"/>
      <c r="BI2" s="1046"/>
      <c r="BJ2" s="1046"/>
      <c r="BK2" s="1046"/>
      <c r="BL2" s="1046"/>
      <c r="BM2" s="1046"/>
      <c r="BN2" s="1046"/>
      <c r="BO2" s="1046"/>
      <c r="BP2" s="1046"/>
      <c r="BQ2" s="1046"/>
      <c r="BR2" s="1046"/>
      <c r="BS2" s="1046"/>
      <c r="BT2" s="1046"/>
      <c r="BU2" s="1046"/>
      <c r="BV2" s="1046"/>
      <c r="BW2" s="1046"/>
      <c r="BX2" s="1046"/>
      <c r="BY2" s="1046"/>
      <c r="BZ2" s="1046"/>
      <c r="CA2" s="1046"/>
      <c r="CB2" s="1046"/>
      <c r="CC2" s="1046"/>
      <c r="CD2" s="1046"/>
      <c r="CE2" s="1046"/>
      <c r="CF2" s="1046"/>
      <c r="CG2" s="1046"/>
      <c r="CH2" s="1046"/>
      <c r="CI2" s="1046"/>
      <c r="CJ2" s="1046"/>
      <c r="CK2" s="1046"/>
      <c r="CL2" s="1046"/>
      <c r="CM2" s="1046"/>
      <c r="CN2" s="1046"/>
      <c r="CO2" s="1046"/>
      <c r="CP2" s="1046"/>
      <c r="CQ2" s="1046"/>
      <c r="CR2" s="1046"/>
      <c r="CS2" s="1046"/>
      <c r="CT2" s="1046"/>
      <c r="CU2" s="1046"/>
      <c r="CV2" s="1046"/>
      <c r="CW2" s="1046"/>
      <c r="CX2" s="1046"/>
      <c r="CY2" s="1046"/>
      <c r="CZ2" s="1046"/>
      <c r="DA2" s="1046"/>
      <c r="DB2" s="1046"/>
      <c r="DC2" s="1046"/>
      <c r="DD2" s="1046"/>
      <c r="DE2" s="1046"/>
      <c r="DF2" s="1046"/>
      <c r="DG2" s="1046"/>
      <c r="DH2" s="1046"/>
      <c r="DI2" s="1046"/>
      <c r="DJ2" s="1046"/>
      <c r="DK2" s="1046"/>
      <c r="DL2" s="1046"/>
      <c r="DM2" s="1046"/>
      <c r="DN2" s="1046"/>
      <c r="DO2" s="1046"/>
      <c r="DP2" s="1046"/>
      <c r="DQ2" s="1046"/>
      <c r="DR2" s="1046"/>
      <c r="DS2" s="1046"/>
      <c r="DT2" s="1046"/>
      <c r="DU2" s="1046"/>
      <c r="DV2" s="1046"/>
      <c r="DW2" s="1046"/>
      <c r="DX2" s="1046"/>
      <c r="DY2" s="1046"/>
      <c r="DZ2" s="1046"/>
      <c r="EA2" s="1046"/>
      <c r="EB2" s="1046"/>
      <c r="EC2" s="1046"/>
      <c r="ED2" s="1046"/>
      <c r="EE2" s="1046"/>
      <c r="EF2" s="1046"/>
      <c r="EG2" s="1046"/>
      <c r="EH2" s="1046"/>
      <c r="EI2" s="1046"/>
      <c r="EJ2" s="1046"/>
      <c r="EK2" s="1046"/>
      <c r="EL2" s="1046"/>
      <c r="EM2" s="1046"/>
      <c r="EN2" s="1046"/>
      <c r="EO2" s="1046"/>
      <c r="EP2" s="1046"/>
      <c r="EQ2" s="1046"/>
      <c r="ER2" s="1046"/>
      <c r="ES2" s="1046"/>
      <c r="ET2" s="1046"/>
      <c r="EU2" s="1046"/>
      <c r="EV2" s="1046"/>
      <c r="EW2" s="1046"/>
      <c r="EX2" s="1046"/>
      <c r="EY2" s="1046"/>
      <c r="EZ2" s="1046"/>
      <c r="FA2" s="1046"/>
      <c r="FB2" s="1046"/>
      <c r="FC2" s="1046"/>
      <c r="FD2" s="1046"/>
      <c r="FE2" s="1046"/>
      <c r="FF2" s="1046"/>
      <c r="FG2" s="1046"/>
      <c r="FH2" s="1046"/>
      <c r="FI2" s="1046"/>
      <c r="FJ2" s="1046"/>
      <c r="FK2" s="1046"/>
      <c r="FL2" s="1046"/>
      <c r="FM2" s="1046"/>
      <c r="FN2" s="1046"/>
      <c r="FO2" s="1046"/>
      <c r="FP2" s="1046"/>
      <c r="FQ2" s="1046"/>
      <c r="FR2" s="1046"/>
      <c r="FS2" s="1046"/>
      <c r="FT2" s="1046"/>
      <c r="FU2" s="1046"/>
      <c r="FV2" s="1046"/>
      <c r="FW2" s="1046"/>
      <c r="FX2" s="1046"/>
      <c r="FY2" s="1046"/>
      <c r="FZ2" s="1046"/>
      <c r="GA2" s="1046"/>
      <c r="GB2" s="1046"/>
      <c r="GC2" s="1046"/>
      <c r="GD2" s="1046"/>
      <c r="GE2" s="1046"/>
      <c r="GF2" s="1046"/>
      <c r="GG2" s="1046"/>
      <c r="GH2" s="1046"/>
      <c r="GI2" s="1046"/>
      <c r="GJ2" s="1046"/>
      <c r="GK2" s="1046"/>
      <c r="GL2" s="1046"/>
      <c r="GM2" s="1046"/>
      <c r="GN2" s="1046"/>
      <c r="GO2" s="1046"/>
      <c r="GP2" s="1046"/>
      <c r="GQ2" s="1046"/>
      <c r="GR2" s="1046"/>
      <c r="GS2" s="1046"/>
      <c r="GT2" s="1046"/>
      <c r="GU2" s="1046"/>
      <c r="GV2" s="1046"/>
      <c r="GW2" s="1046"/>
      <c r="GX2" s="1046"/>
      <c r="GY2" s="1046"/>
      <c r="GZ2" s="1046"/>
      <c r="HA2" s="1046"/>
      <c r="HB2" s="1046"/>
      <c r="HC2" s="1046"/>
      <c r="HD2" s="1046"/>
      <c r="HE2" s="1046"/>
      <c r="HF2" s="1046"/>
      <c r="HG2" s="1046"/>
      <c r="HH2" s="1046"/>
      <c r="HI2" s="1046"/>
      <c r="HJ2" s="1046"/>
      <c r="HK2" s="1046"/>
      <c r="HL2" s="1046"/>
      <c r="HM2" s="1046"/>
      <c r="HN2" s="1046"/>
      <c r="HO2" s="1046"/>
      <c r="HP2" s="1046"/>
      <c r="HQ2" s="1046"/>
      <c r="HR2" s="1046"/>
      <c r="HS2" s="1046"/>
      <c r="HT2" s="1046"/>
      <c r="HU2" s="1046"/>
      <c r="HV2" s="1046"/>
      <c r="HW2" s="1046"/>
      <c r="HX2" s="1046"/>
      <c r="HY2" s="1046"/>
      <c r="HZ2" s="1046"/>
      <c r="IA2" s="1046"/>
      <c r="IB2" s="1046"/>
      <c r="IC2" s="1046"/>
      <c r="ID2" s="1046"/>
      <c r="IE2" s="1046"/>
      <c r="IF2" s="1046"/>
      <c r="IG2" s="1046"/>
      <c r="IH2" s="1046"/>
      <c r="II2" s="1046"/>
      <c r="IJ2" s="1046"/>
      <c r="IK2" s="1046"/>
      <c r="IL2" s="1046"/>
      <c r="IM2" s="1046"/>
      <c r="IN2" s="1046"/>
      <c r="IO2" s="1046"/>
      <c r="IP2" s="1046"/>
      <c r="IQ2" s="1046"/>
      <c r="IR2" s="1046"/>
      <c r="IS2" s="1046"/>
      <c r="IT2" s="1046"/>
      <c r="IU2" s="1046"/>
      <c r="IV2" s="1046"/>
    </row>
    <row r="3" spans="1:256" ht="15.75" customHeight="1" thickBot="1">
      <c r="A3" s="1547" t="s">
        <v>738</v>
      </c>
      <c r="B3" s="1548" t="s">
        <v>6</v>
      </c>
      <c r="C3" s="1549" t="s">
        <v>739</v>
      </c>
      <c r="D3" s="1549" t="s">
        <v>740</v>
      </c>
      <c r="E3" s="1046"/>
      <c r="F3" s="1046"/>
      <c r="G3" s="1046"/>
      <c r="H3" s="1046"/>
      <c r="I3" s="1046"/>
      <c r="J3" s="1046"/>
      <c r="K3" s="1046"/>
      <c r="L3" s="1046"/>
      <c r="M3" s="1046"/>
      <c r="N3" s="1046"/>
      <c r="O3" s="1046"/>
      <c r="P3" s="1046"/>
      <c r="Q3" s="1046"/>
      <c r="R3" s="1046"/>
      <c r="S3" s="1046"/>
      <c r="T3" s="1046"/>
      <c r="U3" s="1046"/>
      <c r="V3" s="1046"/>
      <c r="W3" s="1046"/>
      <c r="X3" s="1046"/>
      <c r="Y3" s="1046"/>
      <c r="Z3" s="1046"/>
      <c r="AA3" s="1046"/>
      <c r="AB3" s="1046"/>
      <c r="AC3" s="1046"/>
      <c r="AD3" s="1046"/>
      <c r="AE3" s="1046"/>
      <c r="AF3" s="1046"/>
      <c r="AG3" s="1046"/>
      <c r="AH3" s="1046"/>
      <c r="AI3" s="1046"/>
      <c r="AJ3" s="1046"/>
      <c r="AK3" s="1046"/>
      <c r="AL3" s="1046"/>
      <c r="AM3" s="1046"/>
      <c r="AN3" s="1046"/>
      <c r="AO3" s="1046"/>
      <c r="AP3" s="1046"/>
      <c r="AQ3" s="1046"/>
      <c r="AR3" s="1046"/>
      <c r="AS3" s="1046"/>
      <c r="AT3" s="1046"/>
      <c r="AU3" s="1046"/>
      <c r="AV3" s="1046"/>
      <c r="AW3" s="1046"/>
      <c r="AX3" s="1046"/>
      <c r="AY3" s="1046"/>
      <c r="AZ3" s="1046"/>
      <c r="BA3" s="1046"/>
      <c r="BB3" s="1046"/>
      <c r="BC3" s="1046"/>
      <c r="BD3" s="1046"/>
      <c r="BE3" s="1046"/>
      <c r="BF3" s="1046"/>
      <c r="BG3" s="1046"/>
      <c r="BH3" s="1046"/>
      <c r="BI3" s="1046"/>
      <c r="BJ3" s="1046"/>
      <c r="BK3" s="1046"/>
      <c r="BL3" s="1046"/>
      <c r="BM3" s="1046"/>
      <c r="BN3" s="1046"/>
      <c r="BO3" s="1046"/>
      <c r="BP3" s="1046"/>
      <c r="BQ3" s="1046"/>
      <c r="BR3" s="1046"/>
      <c r="BS3" s="1046"/>
      <c r="BT3" s="1046"/>
      <c r="BU3" s="1046"/>
      <c r="BV3" s="1046"/>
      <c r="BW3" s="1046"/>
      <c r="BX3" s="1046"/>
      <c r="BY3" s="1046"/>
      <c r="BZ3" s="1046"/>
      <c r="CA3" s="1046"/>
      <c r="CB3" s="1046"/>
      <c r="CC3" s="1046"/>
      <c r="CD3" s="1046"/>
      <c r="CE3" s="1046"/>
      <c r="CF3" s="1046"/>
      <c r="CG3" s="1046"/>
      <c r="CH3" s="1046"/>
      <c r="CI3" s="1046"/>
      <c r="CJ3" s="1046"/>
      <c r="CK3" s="1046"/>
      <c r="CL3" s="1046"/>
      <c r="CM3" s="1046"/>
      <c r="CN3" s="1046"/>
      <c r="CO3" s="1046"/>
      <c r="CP3" s="1046"/>
      <c r="CQ3" s="1046"/>
      <c r="CR3" s="1046"/>
      <c r="CS3" s="1046"/>
      <c r="CT3" s="1046"/>
      <c r="CU3" s="1046"/>
      <c r="CV3" s="1046"/>
      <c r="CW3" s="1046"/>
      <c r="CX3" s="1046"/>
      <c r="CY3" s="1046"/>
      <c r="CZ3" s="1046"/>
      <c r="DA3" s="1046"/>
      <c r="DB3" s="1046"/>
      <c r="DC3" s="1046"/>
      <c r="DD3" s="1046"/>
      <c r="DE3" s="1046"/>
      <c r="DF3" s="1046"/>
      <c r="DG3" s="1046"/>
      <c r="DH3" s="1046"/>
      <c r="DI3" s="1046"/>
      <c r="DJ3" s="1046"/>
      <c r="DK3" s="1046"/>
      <c r="DL3" s="1046"/>
      <c r="DM3" s="1046"/>
      <c r="DN3" s="1046"/>
      <c r="DO3" s="1046"/>
      <c r="DP3" s="1046"/>
      <c r="DQ3" s="1046"/>
      <c r="DR3" s="1046"/>
      <c r="DS3" s="1046"/>
      <c r="DT3" s="1046"/>
      <c r="DU3" s="1046"/>
      <c r="DV3" s="1046"/>
      <c r="DW3" s="1046"/>
      <c r="DX3" s="1046"/>
      <c r="DY3" s="1046"/>
      <c r="DZ3" s="1046"/>
      <c r="EA3" s="1046"/>
      <c r="EB3" s="1046"/>
      <c r="EC3" s="1046"/>
      <c r="ED3" s="1046"/>
      <c r="EE3" s="1046"/>
      <c r="EF3" s="1046"/>
      <c r="EG3" s="1046"/>
      <c r="EH3" s="1046"/>
      <c r="EI3" s="1046"/>
      <c r="EJ3" s="1046"/>
      <c r="EK3" s="1046"/>
      <c r="EL3" s="1046"/>
      <c r="EM3" s="1046"/>
      <c r="EN3" s="1046"/>
      <c r="EO3" s="1046"/>
      <c r="EP3" s="1046"/>
      <c r="EQ3" s="1046"/>
      <c r="ER3" s="1046"/>
      <c r="ES3" s="1046"/>
      <c r="ET3" s="1046"/>
      <c r="EU3" s="1046"/>
      <c r="EV3" s="1046"/>
      <c r="EW3" s="1046"/>
      <c r="EX3" s="1046"/>
      <c r="EY3" s="1046"/>
      <c r="EZ3" s="1046"/>
      <c r="FA3" s="1046"/>
      <c r="FB3" s="1046"/>
      <c r="FC3" s="1046"/>
      <c r="FD3" s="1046"/>
      <c r="FE3" s="1046"/>
      <c r="FF3" s="1046"/>
      <c r="FG3" s="1046"/>
      <c r="FH3" s="1046"/>
      <c r="FI3" s="1046"/>
      <c r="FJ3" s="1046"/>
      <c r="FK3" s="1046"/>
      <c r="FL3" s="1046"/>
      <c r="FM3" s="1046"/>
      <c r="FN3" s="1046"/>
      <c r="FO3" s="1046"/>
      <c r="FP3" s="1046"/>
      <c r="FQ3" s="1046"/>
      <c r="FR3" s="1046"/>
      <c r="FS3" s="1046"/>
      <c r="FT3" s="1046"/>
      <c r="FU3" s="1046"/>
      <c r="FV3" s="1046"/>
      <c r="FW3" s="1046"/>
      <c r="FX3" s="1046"/>
      <c r="FY3" s="1046"/>
      <c r="FZ3" s="1046"/>
      <c r="GA3" s="1046"/>
      <c r="GB3" s="1046"/>
      <c r="GC3" s="1046"/>
      <c r="GD3" s="1046"/>
      <c r="GE3" s="1046"/>
      <c r="GF3" s="1046"/>
      <c r="GG3" s="1046"/>
      <c r="GH3" s="1046"/>
      <c r="GI3" s="1046"/>
      <c r="GJ3" s="1046"/>
      <c r="GK3" s="1046"/>
      <c r="GL3" s="1046"/>
      <c r="GM3" s="1046"/>
      <c r="GN3" s="1046"/>
      <c r="GO3" s="1046"/>
      <c r="GP3" s="1046"/>
      <c r="GQ3" s="1046"/>
      <c r="GR3" s="1046"/>
      <c r="GS3" s="1046"/>
      <c r="GT3" s="1046"/>
      <c r="GU3" s="1046"/>
      <c r="GV3" s="1046"/>
      <c r="GW3" s="1046"/>
      <c r="GX3" s="1046"/>
      <c r="GY3" s="1046"/>
      <c r="GZ3" s="1046"/>
      <c r="HA3" s="1046"/>
      <c r="HB3" s="1046"/>
      <c r="HC3" s="1046"/>
      <c r="HD3" s="1046"/>
      <c r="HE3" s="1046"/>
      <c r="HF3" s="1046"/>
      <c r="HG3" s="1046"/>
      <c r="HH3" s="1046"/>
      <c r="HI3" s="1046"/>
      <c r="HJ3" s="1046"/>
      <c r="HK3" s="1046"/>
      <c r="HL3" s="1046"/>
      <c r="HM3" s="1046"/>
      <c r="HN3" s="1046"/>
      <c r="HO3" s="1046"/>
      <c r="HP3" s="1046"/>
      <c r="HQ3" s="1046"/>
      <c r="HR3" s="1046"/>
      <c r="HS3" s="1046"/>
      <c r="HT3" s="1046"/>
      <c r="HU3" s="1046"/>
      <c r="HV3" s="1046"/>
      <c r="HW3" s="1046"/>
      <c r="HX3" s="1046"/>
      <c r="HY3" s="1046"/>
      <c r="HZ3" s="1046"/>
      <c r="IA3" s="1046"/>
      <c r="IB3" s="1046"/>
      <c r="IC3" s="1046"/>
      <c r="ID3" s="1046"/>
      <c r="IE3" s="1046"/>
      <c r="IF3" s="1046"/>
      <c r="IG3" s="1046"/>
      <c r="IH3" s="1046"/>
      <c r="II3" s="1046"/>
      <c r="IJ3" s="1046"/>
      <c r="IK3" s="1046"/>
      <c r="IL3" s="1046"/>
      <c r="IM3" s="1046"/>
      <c r="IN3" s="1046"/>
      <c r="IO3" s="1046"/>
      <c r="IP3" s="1046"/>
      <c r="IQ3" s="1046"/>
      <c r="IR3" s="1046"/>
      <c r="IS3" s="1046"/>
      <c r="IT3" s="1046"/>
      <c r="IU3" s="1046"/>
      <c r="IV3" s="1046"/>
    </row>
    <row r="4" spans="1:256" ht="11.25" customHeight="1" thickBot="1">
      <c r="A4" s="1547"/>
      <c r="B4" s="1548"/>
      <c r="C4" s="1549"/>
      <c r="D4" s="1549"/>
      <c r="E4" s="1046"/>
      <c r="F4" s="1046"/>
      <c r="G4" s="1046"/>
      <c r="H4" s="1046"/>
      <c r="I4" s="1046"/>
      <c r="J4" s="1046"/>
      <c r="K4" s="1046"/>
      <c r="L4" s="1046"/>
      <c r="M4" s="1046"/>
      <c r="N4" s="1046"/>
      <c r="O4" s="1046"/>
      <c r="P4" s="1046"/>
      <c r="Q4" s="1046"/>
      <c r="R4" s="1046"/>
      <c r="S4" s="1046"/>
      <c r="T4" s="1046"/>
      <c r="U4" s="1046"/>
      <c r="V4" s="1046"/>
      <c r="W4" s="1046"/>
      <c r="X4" s="1046"/>
      <c r="Y4" s="1046"/>
      <c r="Z4" s="1046"/>
      <c r="AA4" s="1046"/>
      <c r="AB4" s="1046"/>
      <c r="AC4" s="1046"/>
      <c r="AD4" s="1046"/>
      <c r="AE4" s="1046"/>
      <c r="AF4" s="1046"/>
      <c r="AG4" s="1046"/>
      <c r="AH4" s="1046"/>
      <c r="AI4" s="1046"/>
      <c r="AJ4" s="1046"/>
      <c r="AK4" s="1046"/>
      <c r="AL4" s="1046"/>
      <c r="AM4" s="1046"/>
      <c r="AN4" s="1046"/>
      <c r="AO4" s="1046"/>
      <c r="AP4" s="1046"/>
      <c r="AQ4" s="1046"/>
      <c r="AR4" s="1046"/>
      <c r="AS4" s="1046"/>
      <c r="AT4" s="1046"/>
      <c r="AU4" s="1046"/>
      <c r="AV4" s="1046"/>
      <c r="AW4" s="1046"/>
      <c r="AX4" s="1046"/>
      <c r="AY4" s="1046"/>
      <c r="AZ4" s="1046"/>
      <c r="BA4" s="1046"/>
      <c r="BB4" s="1046"/>
      <c r="BC4" s="1046"/>
      <c r="BD4" s="1046"/>
      <c r="BE4" s="1046"/>
      <c r="BF4" s="1046"/>
      <c r="BG4" s="1046"/>
      <c r="BH4" s="1046"/>
      <c r="BI4" s="1046"/>
      <c r="BJ4" s="1046"/>
      <c r="BK4" s="1046"/>
      <c r="BL4" s="1046"/>
      <c r="BM4" s="1046"/>
      <c r="BN4" s="1046"/>
      <c r="BO4" s="1046"/>
      <c r="BP4" s="1046"/>
      <c r="BQ4" s="1046"/>
      <c r="BR4" s="1046"/>
      <c r="BS4" s="1046"/>
      <c r="BT4" s="1046"/>
      <c r="BU4" s="1046"/>
      <c r="BV4" s="1046"/>
      <c r="BW4" s="1046"/>
      <c r="BX4" s="1046"/>
      <c r="BY4" s="1046"/>
      <c r="BZ4" s="1046"/>
      <c r="CA4" s="1046"/>
      <c r="CB4" s="1046"/>
      <c r="CC4" s="1046"/>
      <c r="CD4" s="1046"/>
      <c r="CE4" s="1046"/>
      <c r="CF4" s="1046"/>
      <c r="CG4" s="1046"/>
      <c r="CH4" s="1046"/>
      <c r="CI4" s="1046"/>
      <c r="CJ4" s="1046"/>
      <c r="CK4" s="1046"/>
      <c r="CL4" s="1046"/>
      <c r="CM4" s="1046"/>
      <c r="CN4" s="1046"/>
      <c r="CO4" s="1046"/>
      <c r="CP4" s="1046"/>
      <c r="CQ4" s="1046"/>
      <c r="CR4" s="1046"/>
      <c r="CS4" s="1046"/>
      <c r="CT4" s="1046"/>
      <c r="CU4" s="1046"/>
      <c r="CV4" s="1046"/>
      <c r="CW4" s="1046"/>
      <c r="CX4" s="1046"/>
      <c r="CY4" s="1046"/>
      <c r="CZ4" s="1046"/>
      <c r="DA4" s="1046"/>
      <c r="DB4" s="1046"/>
      <c r="DC4" s="1046"/>
      <c r="DD4" s="1046"/>
      <c r="DE4" s="1046"/>
      <c r="DF4" s="1046"/>
      <c r="DG4" s="1046"/>
      <c r="DH4" s="1046"/>
      <c r="DI4" s="1046"/>
      <c r="DJ4" s="1046"/>
      <c r="DK4" s="1046"/>
      <c r="DL4" s="1046"/>
      <c r="DM4" s="1046"/>
      <c r="DN4" s="1046"/>
      <c r="DO4" s="1046"/>
      <c r="DP4" s="1046"/>
      <c r="DQ4" s="1046"/>
      <c r="DR4" s="1046"/>
      <c r="DS4" s="1046"/>
      <c r="DT4" s="1046"/>
      <c r="DU4" s="1046"/>
      <c r="DV4" s="1046"/>
      <c r="DW4" s="1046"/>
      <c r="DX4" s="1046"/>
      <c r="DY4" s="1046"/>
      <c r="DZ4" s="1046"/>
      <c r="EA4" s="1046"/>
      <c r="EB4" s="1046"/>
      <c r="EC4" s="1046"/>
      <c r="ED4" s="1046"/>
      <c r="EE4" s="1046"/>
      <c r="EF4" s="1046"/>
      <c r="EG4" s="1046"/>
      <c r="EH4" s="1046"/>
      <c r="EI4" s="1046"/>
      <c r="EJ4" s="1046"/>
      <c r="EK4" s="1046"/>
      <c r="EL4" s="1046"/>
      <c r="EM4" s="1046"/>
      <c r="EN4" s="1046"/>
      <c r="EO4" s="1046"/>
      <c r="EP4" s="1046"/>
      <c r="EQ4" s="1046"/>
      <c r="ER4" s="1046"/>
      <c r="ES4" s="1046"/>
      <c r="ET4" s="1046"/>
      <c r="EU4" s="1046"/>
      <c r="EV4" s="1046"/>
      <c r="EW4" s="1046"/>
      <c r="EX4" s="1046"/>
      <c r="EY4" s="1046"/>
      <c r="EZ4" s="1046"/>
      <c r="FA4" s="1046"/>
      <c r="FB4" s="1046"/>
      <c r="FC4" s="1046"/>
      <c r="FD4" s="1046"/>
      <c r="FE4" s="1046"/>
      <c r="FF4" s="1046"/>
      <c r="FG4" s="1046"/>
      <c r="FH4" s="1046"/>
      <c r="FI4" s="1046"/>
      <c r="FJ4" s="1046"/>
      <c r="FK4" s="1046"/>
      <c r="FL4" s="1046"/>
      <c r="FM4" s="1046"/>
      <c r="FN4" s="1046"/>
      <c r="FO4" s="1046"/>
      <c r="FP4" s="1046"/>
      <c r="FQ4" s="1046"/>
      <c r="FR4" s="1046"/>
      <c r="FS4" s="1046"/>
      <c r="FT4" s="1046"/>
      <c r="FU4" s="1046"/>
      <c r="FV4" s="1046"/>
      <c r="FW4" s="1046"/>
      <c r="FX4" s="1046"/>
      <c r="FY4" s="1046"/>
      <c r="FZ4" s="1046"/>
      <c r="GA4" s="1046"/>
      <c r="GB4" s="1046"/>
      <c r="GC4" s="1046"/>
      <c r="GD4" s="1046"/>
      <c r="GE4" s="1046"/>
      <c r="GF4" s="1046"/>
      <c r="GG4" s="1046"/>
      <c r="GH4" s="1046"/>
      <c r="GI4" s="1046"/>
      <c r="GJ4" s="1046"/>
      <c r="GK4" s="1046"/>
      <c r="GL4" s="1046"/>
      <c r="GM4" s="1046"/>
      <c r="GN4" s="1046"/>
      <c r="GO4" s="1046"/>
      <c r="GP4" s="1046"/>
      <c r="GQ4" s="1046"/>
      <c r="GR4" s="1046"/>
      <c r="GS4" s="1046"/>
      <c r="GT4" s="1046"/>
      <c r="GU4" s="1046"/>
      <c r="GV4" s="1046"/>
      <c r="GW4" s="1046"/>
      <c r="GX4" s="1046"/>
      <c r="GY4" s="1046"/>
      <c r="GZ4" s="1046"/>
      <c r="HA4" s="1046"/>
      <c r="HB4" s="1046"/>
      <c r="HC4" s="1046"/>
      <c r="HD4" s="1046"/>
      <c r="HE4" s="1046"/>
      <c r="HF4" s="1046"/>
      <c r="HG4" s="1046"/>
      <c r="HH4" s="1046"/>
      <c r="HI4" s="1046"/>
      <c r="HJ4" s="1046"/>
      <c r="HK4" s="1046"/>
      <c r="HL4" s="1046"/>
      <c r="HM4" s="1046"/>
      <c r="HN4" s="1046"/>
      <c r="HO4" s="1046"/>
      <c r="HP4" s="1046"/>
      <c r="HQ4" s="1046"/>
      <c r="HR4" s="1046"/>
      <c r="HS4" s="1046"/>
      <c r="HT4" s="1046"/>
      <c r="HU4" s="1046"/>
      <c r="HV4" s="1046"/>
      <c r="HW4" s="1046"/>
      <c r="HX4" s="1046"/>
      <c r="HY4" s="1046"/>
      <c r="HZ4" s="1046"/>
      <c r="IA4" s="1046"/>
      <c r="IB4" s="1046"/>
      <c r="IC4" s="1046"/>
      <c r="ID4" s="1046"/>
      <c r="IE4" s="1046"/>
      <c r="IF4" s="1046"/>
      <c r="IG4" s="1046"/>
      <c r="IH4" s="1046"/>
      <c r="II4" s="1046"/>
      <c r="IJ4" s="1046"/>
      <c r="IK4" s="1046"/>
      <c r="IL4" s="1046"/>
      <c r="IM4" s="1046"/>
      <c r="IN4" s="1046"/>
      <c r="IO4" s="1046"/>
      <c r="IP4" s="1046"/>
      <c r="IQ4" s="1046"/>
      <c r="IR4" s="1046"/>
      <c r="IS4" s="1046"/>
      <c r="IT4" s="1046"/>
      <c r="IU4" s="1046"/>
      <c r="IV4" s="1046"/>
    </row>
    <row r="5" spans="1:256" ht="12.75" customHeight="1">
      <c r="A5" s="1547"/>
      <c r="B5" s="1548"/>
      <c r="C5" s="1550" t="s">
        <v>741</v>
      </c>
      <c r="D5" s="1550"/>
      <c r="E5" s="1046"/>
      <c r="F5" s="1046"/>
      <c r="G5" s="1046"/>
      <c r="H5" s="1046"/>
      <c r="I5" s="1046"/>
      <c r="J5" s="1046"/>
      <c r="K5" s="1046"/>
      <c r="L5" s="1046"/>
      <c r="M5" s="1046"/>
      <c r="N5" s="1046"/>
      <c r="O5" s="1046"/>
      <c r="P5" s="1046"/>
      <c r="Q5" s="1046"/>
      <c r="R5" s="1046"/>
      <c r="S5" s="1046"/>
      <c r="T5" s="1046"/>
      <c r="U5" s="1046"/>
      <c r="V5" s="1046"/>
      <c r="W5" s="1046"/>
      <c r="X5" s="1046"/>
      <c r="Y5" s="1046"/>
      <c r="Z5" s="1046"/>
      <c r="AA5" s="1046"/>
      <c r="AB5" s="1046"/>
      <c r="AC5" s="1046"/>
      <c r="AD5" s="1046"/>
      <c r="AE5" s="1046"/>
      <c r="AF5" s="1046"/>
      <c r="AG5" s="1046"/>
      <c r="AH5" s="1046"/>
      <c r="AI5" s="1046"/>
      <c r="AJ5" s="1046"/>
      <c r="AK5" s="1046"/>
      <c r="AL5" s="1046"/>
      <c r="AM5" s="1046"/>
      <c r="AN5" s="1046"/>
      <c r="AO5" s="1046"/>
      <c r="AP5" s="1046"/>
      <c r="AQ5" s="1046"/>
      <c r="AR5" s="1046"/>
      <c r="AS5" s="1046"/>
      <c r="AT5" s="1046"/>
      <c r="AU5" s="1046"/>
      <c r="AV5" s="1046"/>
      <c r="AW5" s="1046"/>
      <c r="AX5" s="1046"/>
      <c r="AY5" s="1046"/>
      <c r="AZ5" s="1046"/>
      <c r="BA5" s="1046"/>
      <c r="BB5" s="1046"/>
      <c r="BC5" s="1046"/>
      <c r="BD5" s="1046"/>
      <c r="BE5" s="1046"/>
      <c r="BF5" s="1046"/>
      <c r="BG5" s="1046"/>
      <c r="BH5" s="1046"/>
      <c r="BI5" s="1046"/>
      <c r="BJ5" s="1046"/>
      <c r="BK5" s="1046"/>
      <c r="BL5" s="1046"/>
      <c r="BM5" s="1046"/>
      <c r="BN5" s="1046"/>
      <c r="BO5" s="1046"/>
      <c r="BP5" s="1046"/>
      <c r="BQ5" s="1046"/>
      <c r="BR5" s="1046"/>
      <c r="BS5" s="1046"/>
      <c r="BT5" s="1046"/>
      <c r="BU5" s="1046"/>
      <c r="BV5" s="1046"/>
      <c r="BW5" s="1046"/>
      <c r="BX5" s="1046"/>
      <c r="BY5" s="1046"/>
      <c r="BZ5" s="1046"/>
      <c r="CA5" s="1046"/>
      <c r="CB5" s="1046"/>
      <c r="CC5" s="1046"/>
      <c r="CD5" s="1046"/>
      <c r="CE5" s="1046"/>
      <c r="CF5" s="1046"/>
      <c r="CG5" s="1046"/>
      <c r="CH5" s="1046"/>
      <c r="CI5" s="1046"/>
      <c r="CJ5" s="1046"/>
      <c r="CK5" s="1046"/>
      <c r="CL5" s="1046"/>
      <c r="CM5" s="1046"/>
      <c r="CN5" s="1046"/>
      <c r="CO5" s="1046"/>
      <c r="CP5" s="1046"/>
      <c r="CQ5" s="1046"/>
      <c r="CR5" s="1046"/>
      <c r="CS5" s="1046"/>
      <c r="CT5" s="1046"/>
      <c r="CU5" s="1046"/>
      <c r="CV5" s="1046"/>
      <c r="CW5" s="1046"/>
      <c r="CX5" s="1046"/>
      <c r="CY5" s="1046"/>
      <c r="CZ5" s="1046"/>
      <c r="DA5" s="1046"/>
      <c r="DB5" s="1046"/>
      <c r="DC5" s="1046"/>
      <c r="DD5" s="1046"/>
      <c r="DE5" s="1046"/>
      <c r="DF5" s="1046"/>
      <c r="DG5" s="1046"/>
      <c r="DH5" s="1046"/>
      <c r="DI5" s="1046"/>
      <c r="DJ5" s="1046"/>
      <c r="DK5" s="1046"/>
      <c r="DL5" s="1046"/>
      <c r="DM5" s="1046"/>
      <c r="DN5" s="1046"/>
      <c r="DO5" s="1046"/>
      <c r="DP5" s="1046"/>
      <c r="DQ5" s="1046"/>
      <c r="DR5" s="1046"/>
      <c r="DS5" s="1046"/>
      <c r="DT5" s="1046"/>
      <c r="DU5" s="1046"/>
      <c r="DV5" s="1046"/>
      <c r="DW5" s="1046"/>
      <c r="DX5" s="1046"/>
      <c r="DY5" s="1046"/>
      <c r="DZ5" s="1046"/>
      <c r="EA5" s="1046"/>
      <c r="EB5" s="1046"/>
      <c r="EC5" s="1046"/>
      <c r="ED5" s="1046"/>
      <c r="EE5" s="1046"/>
      <c r="EF5" s="1046"/>
      <c r="EG5" s="1046"/>
      <c r="EH5" s="1046"/>
      <c r="EI5" s="1046"/>
      <c r="EJ5" s="1046"/>
      <c r="EK5" s="1046"/>
      <c r="EL5" s="1046"/>
      <c r="EM5" s="1046"/>
      <c r="EN5" s="1046"/>
      <c r="EO5" s="1046"/>
      <c r="EP5" s="1046"/>
      <c r="EQ5" s="1046"/>
      <c r="ER5" s="1046"/>
      <c r="ES5" s="1046"/>
      <c r="ET5" s="1046"/>
      <c r="EU5" s="1046"/>
      <c r="EV5" s="1046"/>
      <c r="EW5" s="1046"/>
      <c r="EX5" s="1046"/>
      <c r="EY5" s="1046"/>
      <c r="EZ5" s="1046"/>
      <c r="FA5" s="1046"/>
      <c r="FB5" s="1046"/>
      <c r="FC5" s="1046"/>
      <c r="FD5" s="1046"/>
      <c r="FE5" s="1046"/>
      <c r="FF5" s="1046"/>
      <c r="FG5" s="1046"/>
      <c r="FH5" s="1046"/>
      <c r="FI5" s="1046"/>
      <c r="FJ5" s="1046"/>
      <c r="FK5" s="1046"/>
      <c r="FL5" s="1046"/>
      <c r="FM5" s="1046"/>
      <c r="FN5" s="1046"/>
      <c r="FO5" s="1046"/>
      <c r="FP5" s="1046"/>
      <c r="FQ5" s="1046"/>
      <c r="FR5" s="1046"/>
      <c r="FS5" s="1046"/>
      <c r="FT5" s="1046"/>
      <c r="FU5" s="1046"/>
      <c r="FV5" s="1046"/>
      <c r="FW5" s="1046"/>
      <c r="FX5" s="1046"/>
      <c r="FY5" s="1046"/>
      <c r="FZ5" s="1046"/>
      <c r="GA5" s="1046"/>
      <c r="GB5" s="1046"/>
      <c r="GC5" s="1046"/>
      <c r="GD5" s="1046"/>
      <c r="GE5" s="1046"/>
      <c r="GF5" s="1046"/>
      <c r="GG5" s="1046"/>
      <c r="GH5" s="1046"/>
      <c r="GI5" s="1046"/>
      <c r="GJ5" s="1046"/>
      <c r="GK5" s="1046"/>
      <c r="GL5" s="1046"/>
      <c r="GM5" s="1046"/>
      <c r="GN5" s="1046"/>
      <c r="GO5" s="1046"/>
      <c r="GP5" s="1046"/>
      <c r="GQ5" s="1046"/>
      <c r="GR5" s="1046"/>
      <c r="GS5" s="1046"/>
      <c r="GT5" s="1046"/>
      <c r="GU5" s="1046"/>
      <c r="GV5" s="1046"/>
      <c r="GW5" s="1046"/>
      <c r="GX5" s="1046"/>
      <c r="GY5" s="1046"/>
      <c r="GZ5" s="1046"/>
      <c r="HA5" s="1046"/>
      <c r="HB5" s="1046"/>
      <c r="HC5" s="1046"/>
      <c r="HD5" s="1046"/>
      <c r="HE5" s="1046"/>
      <c r="HF5" s="1046"/>
      <c r="HG5" s="1046"/>
      <c r="HH5" s="1046"/>
      <c r="HI5" s="1046"/>
      <c r="HJ5" s="1046"/>
      <c r="HK5" s="1046"/>
      <c r="HL5" s="1046"/>
      <c r="HM5" s="1046"/>
      <c r="HN5" s="1046"/>
      <c r="HO5" s="1046"/>
      <c r="HP5" s="1046"/>
      <c r="HQ5" s="1046"/>
      <c r="HR5" s="1046"/>
      <c r="HS5" s="1046"/>
      <c r="HT5" s="1046"/>
      <c r="HU5" s="1046"/>
      <c r="HV5" s="1046"/>
      <c r="HW5" s="1046"/>
      <c r="HX5" s="1046"/>
      <c r="HY5" s="1046"/>
      <c r="HZ5" s="1046"/>
      <c r="IA5" s="1046"/>
      <c r="IB5" s="1046"/>
      <c r="IC5" s="1046"/>
      <c r="ID5" s="1046"/>
      <c r="IE5" s="1046"/>
      <c r="IF5" s="1046"/>
      <c r="IG5" s="1046"/>
      <c r="IH5" s="1046"/>
      <c r="II5" s="1046"/>
      <c r="IJ5" s="1046"/>
      <c r="IK5" s="1046"/>
      <c r="IL5" s="1046"/>
      <c r="IM5" s="1046"/>
      <c r="IN5" s="1046"/>
      <c r="IO5" s="1046"/>
      <c r="IP5" s="1046"/>
      <c r="IQ5" s="1046"/>
      <c r="IR5" s="1046"/>
      <c r="IS5" s="1046"/>
      <c r="IT5" s="1046"/>
      <c r="IU5" s="1046"/>
      <c r="IV5" s="1046"/>
    </row>
    <row r="6" spans="1:4" s="1182" customFormat="1" ht="16.5" thickBot="1">
      <c r="A6" s="1085" t="s">
        <v>742</v>
      </c>
      <c r="B6" s="1086" t="s">
        <v>15</v>
      </c>
      <c r="C6" s="1086" t="s">
        <v>600</v>
      </c>
      <c r="D6" s="1086" t="s">
        <v>601</v>
      </c>
    </row>
    <row r="7" spans="1:4" s="1183" customFormat="1" ht="15.75">
      <c r="A7" s="1087" t="s">
        <v>743</v>
      </c>
      <c r="B7" s="1088" t="s">
        <v>744</v>
      </c>
      <c r="C7" s="1089">
        <f>SUM(C8:C11)</f>
        <v>545525</v>
      </c>
      <c r="D7" s="1089">
        <v>0</v>
      </c>
    </row>
    <row r="8" spans="1:4" s="1183" customFormat="1" ht="15.75">
      <c r="A8" s="1090" t="s">
        <v>745</v>
      </c>
      <c r="B8" s="1091" t="s">
        <v>746</v>
      </c>
      <c r="C8" s="1092"/>
      <c r="D8" s="1092"/>
    </row>
    <row r="9" spans="1:4" s="1183" customFormat="1" ht="47.25">
      <c r="A9" s="1090" t="s">
        <v>747</v>
      </c>
      <c r="B9" s="1091" t="s">
        <v>748</v>
      </c>
      <c r="C9" s="1092"/>
      <c r="D9" s="1092"/>
    </row>
    <row r="10" spans="1:4" s="1183" customFormat="1" ht="15.75">
      <c r="A10" s="1090" t="s">
        <v>749</v>
      </c>
      <c r="B10" s="1091" t="s">
        <v>750</v>
      </c>
      <c r="C10" s="1092">
        <v>298500</v>
      </c>
      <c r="D10" s="1092"/>
    </row>
    <row r="11" spans="1:4" s="1183" customFormat="1" ht="15.75">
      <c r="A11" s="1090" t="s">
        <v>751</v>
      </c>
      <c r="B11" s="1091" t="s">
        <v>752</v>
      </c>
      <c r="C11" s="1092">
        <v>247025</v>
      </c>
      <c r="D11" s="1092"/>
    </row>
    <row r="12" spans="1:4" s="1183" customFormat="1" ht="15.75">
      <c r="A12" s="1093" t="s">
        <v>753</v>
      </c>
      <c r="B12" s="1094" t="s">
        <v>754</v>
      </c>
      <c r="C12" s="1095">
        <f>SUM(C13+C18+C23+C28+C33)</f>
        <v>37921820</v>
      </c>
      <c r="D12" s="1095">
        <f>SUM(D13+D18+D23+D28+D33)</f>
        <v>2121662</v>
      </c>
    </row>
    <row r="13" spans="1:4" s="1183" customFormat="1" ht="31.5">
      <c r="A13" s="1093" t="s">
        <v>755</v>
      </c>
      <c r="B13" s="1094" t="s">
        <v>756</v>
      </c>
      <c r="C13" s="1095">
        <f>SUM(C14:C17)</f>
        <v>0</v>
      </c>
      <c r="D13" s="1095">
        <f>SUM(D14:D17)</f>
        <v>0</v>
      </c>
    </row>
    <row r="14" spans="1:4" s="1183" customFormat="1" ht="31.5">
      <c r="A14" s="1090" t="s">
        <v>757</v>
      </c>
      <c r="B14" s="1091" t="s">
        <v>758</v>
      </c>
      <c r="C14" s="1092"/>
      <c r="D14" s="1092"/>
    </row>
    <row r="15" spans="1:4" s="1183" customFormat="1" ht="45.75" customHeight="1">
      <c r="A15" s="1090" t="s">
        <v>759</v>
      </c>
      <c r="B15" s="1091" t="s">
        <v>760</v>
      </c>
      <c r="C15" s="1092"/>
      <c r="D15" s="1092"/>
    </row>
    <row r="16" spans="1:4" s="1183" customFormat="1" ht="31.5">
      <c r="A16" s="1090" t="s">
        <v>761</v>
      </c>
      <c r="B16" s="1091" t="s">
        <v>403</v>
      </c>
      <c r="C16" s="1092"/>
      <c r="D16" s="1092"/>
    </row>
    <row r="17" spans="1:4" s="1183" customFormat="1" ht="15.75">
      <c r="A17" s="1090" t="s">
        <v>762</v>
      </c>
      <c r="B17" s="1091" t="s">
        <v>405</v>
      </c>
      <c r="C17" s="1092"/>
      <c r="D17" s="1092"/>
    </row>
    <row r="18" spans="1:4" s="1183" customFormat="1" ht="31.5">
      <c r="A18" s="1093" t="s">
        <v>763</v>
      </c>
      <c r="B18" s="1094" t="s">
        <v>406</v>
      </c>
      <c r="C18" s="1096">
        <f>SUM(C19:C22)</f>
        <v>37921820</v>
      </c>
      <c r="D18" s="1096">
        <f>SUM(D19:D22)</f>
        <v>2121662</v>
      </c>
    </row>
    <row r="19" spans="1:4" s="1183" customFormat="1" ht="31.5">
      <c r="A19" s="1090" t="s">
        <v>764</v>
      </c>
      <c r="B19" s="1091" t="s">
        <v>407</v>
      </c>
      <c r="C19" s="1092"/>
      <c r="D19" s="1092"/>
    </row>
    <row r="20" spans="1:4" s="1183" customFormat="1" ht="47.25">
      <c r="A20" s="1090" t="s">
        <v>765</v>
      </c>
      <c r="B20" s="1091" t="s">
        <v>408</v>
      </c>
      <c r="C20" s="1092"/>
      <c r="D20" s="1092"/>
    </row>
    <row r="21" spans="1:4" s="1183" customFormat="1" ht="31.5">
      <c r="A21" s="1090" t="s">
        <v>766</v>
      </c>
      <c r="B21" s="1091" t="s">
        <v>409</v>
      </c>
      <c r="C21" s="1092"/>
      <c r="D21" s="1092"/>
    </row>
    <row r="22" spans="1:4" s="1183" customFormat="1" ht="15.75">
      <c r="A22" s="1090" t="s">
        <v>767</v>
      </c>
      <c r="B22" s="1091" t="s">
        <v>616</v>
      </c>
      <c r="C22" s="1092">
        <v>37921820</v>
      </c>
      <c r="D22" s="1092">
        <v>2121662</v>
      </c>
    </row>
    <row r="23" spans="1:4" s="1183" customFormat="1" ht="15.75">
      <c r="A23" s="1093" t="s">
        <v>768</v>
      </c>
      <c r="B23" s="1094" t="s">
        <v>617</v>
      </c>
      <c r="C23" s="1097"/>
      <c r="D23" s="1097"/>
    </row>
    <row r="24" spans="1:4" s="1183" customFormat="1" ht="15.75">
      <c r="A24" s="1090" t="s">
        <v>769</v>
      </c>
      <c r="B24" s="1091" t="s">
        <v>619</v>
      </c>
      <c r="C24" s="1092"/>
      <c r="D24" s="1092"/>
    </row>
    <row r="25" spans="1:4" s="1183" customFormat="1" ht="31.5">
      <c r="A25" s="1090" t="s">
        <v>770</v>
      </c>
      <c r="B25" s="1091" t="s">
        <v>620</v>
      </c>
      <c r="C25" s="1092"/>
      <c r="D25" s="1092"/>
    </row>
    <row r="26" spans="1:4" s="1183" customFormat="1" ht="15.75">
      <c r="A26" s="1090" t="s">
        <v>771</v>
      </c>
      <c r="B26" s="1091" t="s">
        <v>627</v>
      </c>
      <c r="C26" s="1092"/>
      <c r="D26" s="1092"/>
    </row>
    <row r="27" spans="1:4" s="1183" customFormat="1" ht="15.75">
      <c r="A27" s="1090" t="s">
        <v>772</v>
      </c>
      <c r="B27" s="1091" t="s">
        <v>773</v>
      </c>
      <c r="C27" s="1092"/>
      <c r="D27" s="1092"/>
    </row>
    <row r="28" spans="1:4" s="1183" customFormat="1" ht="15.75">
      <c r="A28" s="1093" t="s">
        <v>774</v>
      </c>
      <c r="B28" s="1094" t="s">
        <v>775</v>
      </c>
      <c r="C28" s="1096">
        <f>SUM(C29:C32)</f>
        <v>0</v>
      </c>
      <c r="D28" s="1096">
        <f>SUM(D29:D32)</f>
        <v>0</v>
      </c>
    </row>
    <row r="29" spans="1:4" s="1183" customFormat="1" ht="15.75">
      <c r="A29" s="1090" t="s">
        <v>776</v>
      </c>
      <c r="B29" s="1091" t="s">
        <v>777</v>
      </c>
      <c r="C29" s="1092"/>
      <c r="D29" s="1092"/>
    </row>
    <row r="30" spans="1:4" s="1183" customFormat="1" ht="31.5">
      <c r="A30" s="1090" t="s">
        <v>778</v>
      </c>
      <c r="B30" s="1091" t="s">
        <v>779</v>
      </c>
      <c r="C30" s="1092"/>
      <c r="D30" s="1092"/>
    </row>
    <row r="31" spans="1:4" s="1183" customFormat="1" ht="15.75">
      <c r="A31" s="1090" t="s">
        <v>780</v>
      </c>
      <c r="B31" s="1091" t="s">
        <v>781</v>
      </c>
      <c r="C31" s="1092"/>
      <c r="D31" s="1092"/>
    </row>
    <row r="32" spans="1:4" s="1183" customFormat="1" ht="15.75">
      <c r="A32" s="1090" t="s">
        <v>782</v>
      </c>
      <c r="B32" s="1091" t="s">
        <v>783</v>
      </c>
      <c r="C32" s="1092"/>
      <c r="D32" s="1092"/>
    </row>
    <row r="33" spans="1:4" s="1183" customFormat="1" ht="15.75">
      <c r="A33" s="1093" t="s">
        <v>784</v>
      </c>
      <c r="B33" s="1094" t="s">
        <v>785</v>
      </c>
      <c r="C33" s="1097"/>
      <c r="D33" s="1097"/>
    </row>
    <row r="34" spans="1:4" s="1183" customFormat="1" ht="15.75">
      <c r="A34" s="1090" t="s">
        <v>786</v>
      </c>
      <c r="B34" s="1091" t="s">
        <v>787</v>
      </c>
      <c r="C34" s="1092"/>
      <c r="D34" s="1092"/>
    </row>
    <row r="35" spans="1:4" s="1183" customFormat="1" ht="47.25">
      <c r="A35" s="1090" t="s">
        <v>788</v>
      </c>
      <c r="B35" s="1091" t="s">
        <v>789</v>
      </c>
      <c r="C35" s="1092"/>
      <c r="D35" s="1092"/>
    </row>
    <row r="36" spans="1:4" s="1183" customFormat="1" ht="31.5">
      <c r="A36" s="1090" t="s">
        <v>790</v>
      </c>
      <c r="B36" s="1091" t="s">
        <v>791</v>
      </c>
      <c r="C36" s="1092"/>
      <c r="D36" s="1092"/>
    </row>
    <row r="37" spans="1:4" s="1183" customFormat="1" ht="15.75">
      <c r="A37" s="1090" t="s">
        <v>792</v>
      </c>
      <c r="B37" s="1091" t="s">
        <v>793</v>
      </c>
      <c r="C37" s="1092"/>
      <c r="D37" s="1092"/>
    </row>
    <row r="38" spans="1:4" s="1183" customFormat="1" ht="15.75">
      <c r="A38" s="1093" t="s">
        <v>794</v>
      </c>
      <c r="B38" s="1094" t="s">
        <v>795</v>
      </c>
      <c r="C38" s="1096">
        <f>SUM(C39+C44+C49)</f>
        <v>0</v>
      </c>
      <c r="D38" s="1096">
        <f>SUM(D39+D44+D49)</f>
        <v>0</v>
      </c>
    </row>
    <row r="39" spans="1:4" s="1183" customFormat="1" ht="15.75">
      <c r="A39" s="1093" t="s">
        <v>796</v>
      </c>
      <c r="B39" s="1094" t="s">
        <v>797</v>
      </c>
      <c r="C39" s="1096">
        <f>SUM(C40:C43)</f>
        <v>0</v>
      </c>
      <c r="D39" s="1096">
        <f>SUM(D40:D43)</f>
        <v>0</v>
      </c>
    </row>
    <row r="40" spans="1:4" s="1183" customFormat="1" ht="15.75">
      <c r="A40" s="1090" t="s">
        <v>798</v>
      </c>
      <c r="B40" s="1091" t="s">
        <v>799</v>
      </c>
      <c r="C40" s="1092"/>
      <c r="D40" s="1092"/>
    </row>
    <row r="41" spans="1:4" s="1183" customFormat="1" ht="31.5">
      <c r="A41" s="1090" t="s">
        <v>800</v>
      </c>
      <c r="B41" s="1091" t="s">
        <v>801</v>
      </c>
      <c r="C41" s="1092"/>
      <c r="D41" s="1092"/>
    </row>
    <row r="42" spans="1:4" s="1183" customFormat="1" ht="15.75">
      <c r="A42" s="1090" t="s">
        <v>802</v>
      </c>
      <c r="B42" s="1091" t="s">
        <v>803</v>
      </c>
      <c r="C42" s="1092"/>
      <c r="D42" s="1092"/>
    </row>
    <row r="43" spans="1:4" s="1183" customFormat="1" ht="15.75">
      <c r="A43" s="1090" t="s">
        <v>804</v>
      </c>
      <c r="B43" s="1091" t="s">
        <v>805</v>
      </c>
      <c r="C43" s="1092"/>
      <c r="D43" s="1092"/>
    </row>
    <row r="44" spans="1:4" s="1183" customFormat="1" ht="31.5">
      <c r="A44" s="1093" t="s">
        <v>806</v>
      </c>
      <c r="B44" s="1094" t="s">
        <v>807</v>
      </c>
      <c r="C44" s="1097"/>
      <c r="D44" s="1097"/>
    </row>
    <row r="45" spans="1:4" s="1183" customFormat="1" ht="31.5">
      <c r="A45" s="1090" t="s">
        <v>808</v>
      </c>
      <c r="B45" s="1091" t="s">
        <v>809</v>
      </c>
      <c r="C45" s="1092"/>
      <c r="D45" s="1092"/>
    </row>
    <row r="46" spans="1:4" s="1183" customFormat="1" ht="47.25">
      <c r="A46" s="1090" t="s">
        <v>810</v>
      </c>
      <c r="B46" s="1091" t="s">
        <v>811</v>
      </c>
      <c r="C46" s="1092"/>
      <c r="D46" s="1092"/>
    </row>
    <row r="47" spans="1:4" s="1183" customFormat="1" ht="31.5">
      <c r="A47" s="1090" t="s">
        <v>812</v>
      </c>
      <c r="B47" s="1091" t="s">
        <v>813</v>
      </c>
      <c r="C47" s="1092"/>
      <c r="D47" s="1092"/>
    </row>
    <row r="48" spans="1:4" s="1183" customFormat="1" ht="15.75">
      <c r="A48" s="1090" t="s">
        <v>814</v>
      </c>
      <c r="B48" s="1091" t="s">
        <v>815</v>
      </c>
      <c r="C48" s="1092"/>
      <c r="D48" s="1092"/>
    </row>
    <row r="49" spans="1:4" s="1183" customFormat="1" ht="31.5">
      <c r="A49" s="1093" t="s">
        <v>816</v>
      </c>
      <c r="B49" s="1094" t="s">
        <v>817</v>
      </c>
      <c r="C49" s="1097"/>
      <c r="D49" s="1097"/>
    </row>
    <row r="50" spans="1:4" s="1183" customFormat="1" ht="31.5">
      <c r="A50" s="1090" t="s">
        <v>818</v>
      </c>
      <c r="B50" s="1091" t="s">
        <v>819</v>
      </c>
      <c r="C50" s="1092"/>
      <c r="D50" s="1092"/>
    </row>
    <row r="51" spans="1:4" s="1183" customFormat="1" ht="47.25">
      <c r="A51" s="1090" t="s">
        <v>820</v>
      </c>
      <c r="B51" s="1091" t="s">
        <v>821</v>
      </c>
      <c r="C51" s="1092"/>
      <c r="D51" s="1092"/>
    </row>
    <row r="52" spans="1:4" s="1183" customFormat="1" ht="31.5">
      <c r="A52" s="1090" t="s">
        <v>822</v>
      </c>
      <c r="B52" s="1091" t="s">
        <v>823</v>
      </c>
      <c r="C52" s="1092"/>
      <c r="D52" s="1092"/>
    </row>
    <row r="53" spans="1:4" s="1183" customFormat="1" ht="15.75">
      <c r="A53" s="1090" t="s">
        <v>824</v>
      </c>
      <c r="B53" s="1091" t="s">
        <v>825</v>
      </c>
      <c r="C53" s="1092"/>
      <c r="D53" s="1092"/>
    </row>
    <row r="54" spans="1:4" s="1183" customFormat="1" ht="15.75">
      <c r="A54" s="1093" t="s">
        <v>826</v>
      </c>
      <c r="B54" s="1091" t="s">
        <v>827</v>
      </c>
      <c r="C54" s="1092"/>
      <c r="D54" s="1092"/>
    </row>
    <row r="55" spans="1:4" ht="47.25">
      <c r="A55" s="1093" t="s">
        <v>828</v>
      </c>
      <c r="B55" s="1094" t="s">
        <v>829</v>
      </c>
      <c r="C55" s="1096">
        <f>SUM(C7+C12+C38+C54)</f>
        <v>38467345</v>
      </c>
      <c r="D55" s="1096">
        <f>SUM(D7+D12+D38+D54)</f>
        <v>2121662</v>
      </c>
    </row>
    <row r="56" spans="1:4" ht="15.75">
      <c r="A56" s="1093" t="s">
        <v>830</v>
      </c>
      <c r="B56" s="1091" t="s">
        <v>831</v>
      </c>
      <c r="C56" s="1098">
        <v>382144</v>
      </c>
      <c r="D56" s="1098">
        <f>+C56</f>
        <v>382144</v>
      </c>
    </row>
    <row r="57" spans="1:4" ht="15.75">
      <c r="A57" s="1093" t="s">
        <v>832</v>
      </c>
      <c r="B57" s="1091" t="s">
        <v>833</v>
      </c>
      <c r="C57" s="1092"/>
      <c r="D57" s="1092"/>
    </row>
    <row r="58" spans="1:4" ht="31.5">
      <c r="A58" s="1093" t="s">
        <v>834</v>
      </c>
      <c r="B58" s="1094" t="s">
        <v>835</v>
      </c>
      <c r="C58" s="1096"/>
      <c r="D58" s="1096"/>
    </row>
    <row r="59" spans="1:4" ht="15.75">
      <c r="A59" s="1093" t="s">
        <v>836</v>
      </c>
      <c r="B59" s="1091" t="s">
        <v>837</v>
      </c>
      <c r="C59" s="1099"/>
      <c r="D59" s="1098"/>
    </row>
    <row r="60" spans="1:4" ht="15.75">
      <c r="A60" s="1093" t="s">
        <v>838</v>
      </c>
      <c r="B60" s="1091" t="s">
        <v>839</v>
      </c>
      <c r="C60" s="1099"/>
      <c r="D60" s="1098"/>
    </row>
    <row r="61" spans="1:4" ht="15.75">
      <c r="A61" s="1093" t="s">
        <v>840</v>
      </c>
      <c r="B61" s="1091" t="s">
        <v>841</v>
      </c>
      <c r="C61" s="1099"/>
      <c r="D61" s="1098">
        <v>2014559</v>
      </c>
    </row>
    <row r="62" spans="1:4" ht="15.75">
      <c r="A62" s="1093" t="s">
        <v>842</v>
      </c>
      <c r="B62" s="1091" t="s">
        <v>843</v>
      </c>
      <c r="C62" s="1099"/>
      <c r="D62" s="1098"/>
    </row>
    <row r="63" spans="1:4" ht="15.75">
      <c r="A63" s="1093" t="s">
        <v>844</v>
      </c>
      <c r="B63" s="1091" t="s">
        <v>845</v>
      </c>
      <c r="C63" s="1099"/>
      <c r="D63" s="1098"/>
    </row>
    <row r="64" spans="1:4" ht="15.75">
      <c r="A64" s="1093" t="s">
        <v>846</v>
      </c>
      <c r="B64" s="1094" t="s">
        <v>847</v>
      </c>
      <c r="C64" s="1100"/>
      <c r="D64" s="1096">
        <f>SUM(D59:D63)</f>
        <v>2014559</v>
      </c>
    </row>
    <row r="65" spans="1:4" ht="15.75">
      <c r="A65" s="1093" t="s">
        <v>848</v>
      </c>
      <c r="B65" s="1091" t="s">
        <v>849</v>
      </c>
      <c r="C65" s="1099"/>
      <c r="D65" s="1098">
        <v>21600</v>
      </c>
    </row>
    <row r="66" spans="1:4" ht="15.75">
      <c r="A66" s="1093" t="s">
        <v>850</v>
      </c>
      <c r="B66" s="1091" t="s">
        <v>851</v>
      </c>
      <c r="C66" s="1099"/>
      <c r="D66" s="1098"/>
    </row>
    <row r="67" spans="1:4" ht="15.75">
      <c r="A67" s="1093" t="s">
        <v>852</v>
      </c>
      <c r="B67" s="1091" t="s">
        <v>853</v>
      </c>
      <c r="C67" s="1099"/>
      <c r="D67" s="1098">
        <v>1888966</v>
      </c>
    </row>
    <row r="68" spans="1:4" ht="15.75">
      <c r="A68" s="1093" t="s">
        <v>854</v>
      </c>
      <c r="B68" s="1094" t="s">
        <v>855</v>
      </c>
      <c r="C68" s="1100"/>
      <c r="D68" s="1096">
        <f>SUM(D65:D67)</f>
        <v>1910566</v>
      </c>
    </row>
    <row r="69" spans="1:4" ht="15.75">
      <c r="A69" s="1093" t="s">
        <v>856</v>
      </c>
      <c r="B69" s="1091" t="s">
        <v>857</v>
      </c>
      <c r="C69" s="1099"/>
      <c r="D69" s="1098"/>
    </row>
    <row r="70" spans="1:4" ht="47.25">
      <c r="A70" s="1093" t="s">
        <v>858</v>
      </c>
      <c r="B70" s="1091" t="s">
        <v>859</v>
      </c>
      <c r="C70" s="1099"/>
      <c r="D70" s="1098"/>
    </row>
    <row r="71" spans="1:4" ht="31.5">
      <c r="A71" s="1093" t="s">
        <v>860</v>
      </c>
      <c r="B71" s="1094" t="s">
        <v>861</v>
      </c>
      <c r="C71" s="1100"/>
      <c r="D71" s="1096">
        <f>SUM(D69:D70)</f>
        <v>0</v>
      </c>
    </row>
    <row r="72" spans="1:4" ht="15.75">
      <c r="A72" s="1093" t="s">
        <v>862</v>
      </c>
      <c r="B72" s="1094" t="s">
        <v>863</v>
      </c>
      <c r="C72" s="1099"/>
      <c r="D72" s="1098"/>
    </row>
    <row r="73" spans="1:4" ht="16.5" thickBot="1">
      <c r="A73" s="1101" t="s">
        <v>864</v>
      </c>
      <c r="B73" s="1094" t="s">
        <v>865</v>
      </c>
      <c r="C73" s="1102"/>
      <c r="D73" s="1102">
        <f>SUM(D68+D64+D58+D55+D71+D72+D56)</f>
        <v>6428931</v>
      </c>
    </row>
    <row r="75" ht="16.5" thickBot="1"/>
    <row r="76" spans="1:3" ht="15.75">
      <c r="A76" s="1533" t="s">
        <v>866</v>
      </c>
      <c r="B76" s="1535" t="s">
        <v>6</v>
      </c>
      <c r="C76" s="1537" t="s">
        <v>867</v>
      </c>
    </row>
    <row r="77" spans="1:3" ht="15.75">
      <c r="A77" s="1534"/>
      <c r="B77" s="1536"/>
      <c r="C77" s="1538"/>
    </row>
    <row r="78" spans="1:3" ht="16.5" thickBot="1">
      <c r="A78" s="1068" t="s">
        <v>599</v>
      </c>
      <c r="B78" s="1069" t="s">
        <v>15</v>
      </c>
      <c r="C78" s="1070" t="s">
        <v>600</v>
      </c>
    </row>
    <row r="79" spans="1:3" ht="15.75">
      <c r="A79" s="1071" t="s">
        <v>868</v>
      </c>
      <c r="B79" s="1072" t="s">
        <v>744</v>
      </c>
      <c r="C79" s="1073">
        <f>+'[3]12.sz.m.mérleg'!H185</f>
        <v>0</v>
      </c>
    </row>
    <row r="80" spans="1:3" ht="15.75">
      <c r="A80" s="1071" t="s">
        <v>869</v>
      </c>
      <c r="B80" s="1074" t="s">
        <v>746</v>
      </c>
      <c r="C80" s="1073">
        <f>+'[3]12.sz.m.mérleg'!H186</f>
        <v>0</v>
      </c>
    </row>
    <row r="81" spans="1:3" ht="15.75">
      <c r="A81" s="1071" t="s">
        <v>870</v>
      </c>
      <c r="B81" s="1074" t="s">
        <v>748</v>
      </c>
      <c r="C81" s="1073">
        <f>+'12.sz.m.mérleg'!H187</f>
        <v>17445000</v>
      </c>
    </row>
    <row r="82" spans="1:3" ht="15.75">
      <c r="A82" s="1071" t="s">
        <v>871</v>
      </c>
      <c r="B82" s="1074" t="s">
        <v>750</v>
      </c>
      <c r="C82" s="1073">
        <f>+'12.sz.m.mérleg'!H188</f>
        <v>-18416107</v>
      </c>
    </row>
    <row r="83" spans="1:3" ht="15.75">
      <c r="A83" s="1071" t="s">
        <v>872</v>
      </c>
      <c r="B83" s="1074" t="s">
        <v>752</v>
      </c>
      <c r="C83" s="1073"/>
    </row>
    <row r="84" spans="1:3" ht="15.75">
      <c r="A84" s="1071" t="s">
        <v>873</v>
      </c>
      <c r="B84" s="1074" t="s">
        <v>754</v>
      </c>
      <c r="C84" s="1073">
        <f>+'12.sz.m.mérleg'!H190</f>
        <v>136649</v>
      </c>
    </row>
    <row r="85" spans="1:3" ht="15.75">
      <c r="A85" s="1071" t="s">
        <v>874</v>
      </c>
      <c r="B85" s="1076" t="s">
        <v>756</v>
      </c>
      <c r="C85" s="1077">
        <f>SUM(C79:C84)</f>
        <v>-834458</v>
      </c>
    </row>
    <row r="86" spans="1:3" ht="15.75">
      <c r="A86" s="1071" t="s">
        <v>875</v>
      </c>
      <c r="B86" s="1074" t="s">
        <v>758</v>
      </c>
      <c r="C86" s="1078">
        <f>+'12.sz.m.mérleg'!H217</f>
        <v>141633</v>
      </c>
    </row>
    <row r="87" spans="1:3" ht="15.75">
      <c r="A87" s="1071" t="s">
        <v>876</v>
      </c>
      <c r="B87" s="1074" t="s">
        <v>760</v>
      </c>
      <c r="C87" s="1075">
        <f>+'[3]12.sz.m.mérleg'!H244</f>
        <v>0</v>
      </c>
    </row>
    <row r="88" spans="1:3" ht="15.75">
      <c r="A88" s="1071" t="s">
        <v>877</v>
      </c>
      <c r="B88" s="1074" t="s">
        <v>403</v>
      </c>
      <c r="C88" s="1075">
        <f>+'[3]12.sz.m.mérleg'!H255</f>
        <v>0</v>
      </c>
    </row>
    <row r="89" spans="1:3" ht="15.75">
      <c r="A89" s="1071" t="s">
        <v>878</v>
      </c>
      <c r="B89" s="1076" t="s">
        <v>405</v>
      </c>
      <c r="C89" s="1077">
        <f>C86+C87+C88</f>
        <v>141633</v>
      </c>
    </row>
    <row r="90" spans="1:3" ht="15.75">
      <c r="A90" s="1071" t="s">
        <v>879</v>
      </c>
      <c r="B90" s="1076" t="s">
        <v>406</v>
      </c>
      <c r="C90" s="1075"/>
    </row>
    <row r="91" spans="1:3" ht="15.75">
      <c r="A91" s="1071" t="s">
        <v>880</v>
      </c>
      <c r="B91" s="1076" t="s">
        <v>407</v>
      </c>
      <c r="C91" s="1079">
        <f>+'12.sz.m.mérleg'!H257</f>
        <v>7121756</v>
      </c>
    </row>
    <row r="92" spans="1:3" ht="16.5" thickBot="1">
      <c r="A92" s="1080" t="s">
        <v>881</v>
      </c>
      <c r="B92" s="1081" t="s">
        <v>408</v>
      </c>
      <c r="C92" s="1082">
        <f>C85+C89+C90+C91</f>
        <v>6428931</v>
      </c>
    </row>
  </sheetData>
  <sheetProtection selectLockedCells="1" selectUnlockedCells="1"/>
  <mergeCells count="10">
    <mergeCell ref="A76:A77"/>
    <mergeCell ref="B76:B77"/>
    <mergeCell ref="C76:C77"/>
    <mergeCell ref="A1:D1"/>
    <mergeCell ref="C2:D2"/>
    <mergeCell ref="A3:A5"/>
    <mergeCell ref="B3:B5"/>
    <mergeCell ref="C3:C4"/>
    <mergeCell ref="D3:D4"/>
    <mergeCell ref="C5:D5"/>
  </mergeCells>
  <printOptions/>
  <pageMargins left="0.7875" right="0.7875" top="1.0527777777777778" bottom="1.0527777777777778" header="0.7875" footer="0.7875"/>
  <pageSetup horizontalDpi="300" verticalDpi="300" orientation="portrait" paperSize="9" scale="94" r:id="rId1"/>
  <headerFooter alignWithMargins="0">
    <oddHeader>&amp;R13.c.számú melléklet</oddHeader>
    <oddFooter>&amp;C&amp;"Times New Roman,Normál"&amp;12Oldal &amp;P</oddFooter>
  </headerFooter>
  <rowBreaks count="1" manualBreakCount="1">
    <brk id="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7"/>
  </sheetPr>
  <dimension ref="A1:F38"/>
  <sheetViews>
    <sheetView zoomScale="55" zoomScaleNormal="55" workbookViewId="0" topLeftCell="A1">
      <selection activeCell="A1" sqref="A1:IV16384"/>
    </sheetView>
  </sheetViews>
  <sheetFormatPr defaultColWidth="10.7109375" defaultRowHeight="12.75"/>
  <cols>
    <col min="1" max="1" width="67.7109375" style="1147" customWidth="1"/>
    <col min="2" max="2" width="11.421875" style="1147" customWidth="1"/>
    <col min="3" max="3" width="12.7109375" style="1147" customWidth="1"/>
    <col min="4" max="4" width="18.00390625" style="1147" customWidth="1"/>
    <col min="5" max="5" width="18.57421875" style="1147" customWidth="1"/>
    <col min="6" max="16384" width="10.7109375" style="1147" customWidth="1"/>
  </cols>
  <sheetData>
    <row r="1" spans="1:6" ht="48" customHeight="1">
      <c r="A1" s="1551" t="s">
        <v>1455</v>
      </c>
      <c r="B1" s="1551"/>
      <c r="C1" s="1551"/>
      <c r="D1" s="1551"/>
      <c r="E1" s="1551"/>
      <c r="F1" s="1046"/>
    </row>
    <row r="2" spans="1:6" ht="16.5" thickBot="1">
      <c r="A2" s="1105" t="s">
        <v>736</v>
      </c>
      <c r="B2" s="1084"/>
      <c r="C2" s="1084"/>
      <c r="D2" s="1552" t="s">
        <v>883</v>
      </c>
      <c r="E2" s="1552"/>
      <c r="F2" s="1046"/>
    </row>
    <row r="3" spans="1:6" ht="54" customHeight="1" thickBot="1">
      <c r="A3" s="1106" t="s">
        <v>4</v>
      </c>
      <c r="B3" s="1107" t="s">
        <v>6</v>
      </c>
      <c r="C3" s="1108" t="s">
        <v>884</v>
      </c>
      <c r="D3" s="1109" t="s">
        <v>885</v>
      </c>
      <c r="E3" s="1110" t="s">
        <v>886</v>
      </c>
      <c r="F3" s="1046"/>
    </row>
    <row r="4" spans="1:6" ht="16.5" thickBot="1">
      <c r="A4" s="1111" t="s">
        <v>599</v>
      </c>
      <c r="B4" s="1112" t="s">
        <v>15</v>
      </c>
      <c r="C4" s="1112" t="s">
        <v>600</v>
      </c>
      <c r="D4" s="1113" t="s">
        <v>601</v>
      </c>
      <c r="E4" s="1114"/>
      <c r="F4" s="1046"/>
    </row>
    <row r="5" spans="1:6" ht="15.75" customHeight="1">
      <c r="A5" s="1115" t="s">
        <v>887</v>
      </c>
      <c r="B5" s="1116" t="s">
        <v>27</v>
      </c>
      <c r="C5" s="1117">
        <v>159</v>
      </c>
      <c r="D5" s="1779">
        <v>107344090</v>
      </c>
      <c r="E5" s="1119"/>
      <c r="F5" s="1046"/>
    </row>
    <row r="6" spans="1:6" ht="15.75" customHeight="1">
      <c r="A6" s="1115" t="s">
        <v>888</v>
      </c>
      <c r="B6" s="1136" t="s">
        <v>28</v>
      </c>
      <c r="C6" s="1121"/>
      <c r="D6" s="1122"/>
      <c r="E6" s="1123"/>
      <c r="F6" s="1046"/>
    </row>
    <row r="7" spans="1:6" ht="15.75" customHeight="1">
      <c r="A7" s="1115" t="s">
        <v>889</v>
      </c>
      <c r="B7" s="1116" t="s">
        <v>10</v>
      </c>
      <c r="C7" s="1121">
        <v>42</v>
      </c>
      <c r="D7" s="1122">
        <v>650617</v>
      </c>
      <c r="E7" s="1123"/>
      <c r="F7" s="1046"/>
    </row>
    <row r="8" spans="1:6" ht="15.75" customHeight="1" thickBot="1">
      <c r="A8" s="1125" t="s">
        <v>890</v>
      </c>
      <c r="B8" s="1126" t="s">
        <v>11</v>
      </c>
      <c r="C8" s="1127"/>
      <c r="D8" s="1128"/>
      <c r="E8" s="1129"/>
      <c r="F8" s="1046"/>
    </row>
    <row r="9" spans="1:6" ht="15.75" customHeight="1" thickBot="1">
      <c r="A9" s="1130" t="s">
        <v>891</v>
      </c>
      <c r="B9" s="1131" t="s">
        <v>12</v>
      </c>
      <c r="C9" s="1132">
        <f>SUM(C10:C13)</f>
        <v>4</v>
      </c>
      <c r="D9" s="1132">
        <f>SUM(D10:D13)</f>
        <v>37514000</v>
      </c>
      <c r="E9" s="1133">
        <f>SUM(E5:E8)</f>
        <v>0</v>
      </c>
      <c r="F9" s="1046"/>
    </row>
    <row r="10" spans="1:6" ht="15.75" customHeight="1">
      <c r="A10" s="1134" t="s">
        <v>892</v>
      </c>
      <c r="B10" s="1116" t="s">
        <v>13</v>
      </c>
      <c r="C10" s="1117">
        <v>4</v>
      </c>
      <c r="D10" s="1135">
        <v>37514000</v>
      </c>
      <c r="E10" s="1119"/>
      <c r="F10" s="1046"/>
    </row>
    <row r="11" spans="1:6" ht="15.75" customHeight="1">
      <c r="A11" s="1115" t="s">
        <v>893</v>
      </c>
      <c r="B11" s="1136" t="s">
        <v>14</v>
      </c>
      <c r="C11" s="1121"/>
      <c r="D11" s="1122"/>
      <c r="E11" s="1137"/>
      <c r="F11" s="1046"/>
    </row>
    <row r="12" spans="1:6" ht="15.75" customHeight="1">
      <c r="A12" s="1115" t="s">
        <v>894</v>
      </c>
      <c r="B12" s="1136" t="s">
        <v>57</v>
      </c>
      <c r="C12" s="1121"/>
      <c r="D12" s="1122"/>
      <c r="E12" s="1137"/>
      <c r="F12" s="1046"/>
    </row>
    <row r="13" spans="1:6" ht="15.75" customHeight="1" thickBot="1">
      <c r="A13" s="1125" t="s">
        <v>895</v>
      </c>
      <c r="B13" s="1126" t="s">
        <v>58</v>
      </c>
      <c r="C13" s="1127"/>
      <c r="D13" s="1128"/>
      <c r="E13" s="1138"/>
      <c r="F13" s="1046"/>
    </row>
    <row r="14" spans="1:6" ht="15.75" customHeight="1" thickBot="1">
      <c r="A14" s="1130" t="s">
        <v>896</v>
      </c>
      <c r="B14" s="1139" t="s">
        <v>403</v>
      </c>
      <c r="C14" s="1140"/>
      <c r="D14" s="1141">
        <f>+D15+D16+D17</f>
        <v>0</v>
      </c>
      <c r="E14" s="1114"/>
      <c r="F14" s="1046"/>
    </row>
    <row r="15" spans="1:6" ht="15.75" customHeight="1">
      <c r="A15" s="1134" t="s">
        <v>897</v>
      </c>
      <c r="B15" s="1116" t="s">
        <v>405</v>
      </c>
      <c r="C15" s="1117"/>
      <c r="D15" s="1135"/>
      <c r="E15" s="1142"/>
      <c r="F15" s="1046"/>
    </row>
    <row r="16" spans="1:6" ht="15.75" customHeight="1">
      <c r="A16" s="1115" t="s">
        <v>898</v>
      </c>
      <c r="B16" s="1136" t="s">
        <v>406</v>
      </c>
      <c r="C16" s="1121"/>
      <c r="D16" s="1122"/>
      <c r="E16" s="1137"/>
      <c r="F16" s="1046"/>
    </row>
    <row r="17" spans="1:6" ht="15.75" customHeight="1" thickBot="1">
      <c r="A17" s="1125" t="s">
        <v>899</v>
      </c>
      <c r="B17" s="1126" t="s">
        <v>407</v>
      </c>
      <c r="C17" s="1127"/>
      <c r="D17" s="1128"/>
      <c r="E17" s="1138"/>
      <c r="F17" s="1046"/>
    </row>
    <row r="18" spans="1:6" ht="15.75" customHeight="1" thickBot="1">
      <c r="A18" s="1130" t="s">
        <v>900</v>
      </c>
      <c r="B18" s="1139" t="s">
        <v>408</v>
      </c>
      <c r="C18" s="1140"/>
      <c r="D18" s="1141">
        <f>+D19+D20+D21</f>
        <v>0</v>
      </c>
      <c r="E18" s="1114"/>
      <c r="F18" s="1046"/>
    </row>
    <row r="19" spans="1:6" ht="15.75" customHeight="1">
      <c r="A19" s="1134" t="s">
        <v>901</v>
      </c>
      <c r="B19" s="1116" t="s">
        <v>409</v>
      </c>
      <c r="C19" s="1117"/>
      <c r="D19" s="1135"/>
      <c r="E19" s="1142"/>
      <c r="F19" s="1046"/>
    </row>
    <row r="20" spans="1:6" ht="15.75" customHeight="1">
      <c r="A20" s="1115" t="s">
        <v>902</v>
      </c>
      <c r="B20" s="1136" t="s">
        <v>616</v>
      </c>
      <c r="C20" s="1121"/>
      <c r="D20" s="1122"/>
      <c r="E20" s="1137"/>
      <c r="F20" s="1046"/>
    </row>
    <row r="21" spans="1:6" ht="15.75" customHeight="1">
      <c r="A21" s="1115" t="s">
        <v>903</v>
      </c>
      <c r="B21" s="1136" t="s">
        <v>617</v>
      </c>
      <c r="C21" s="1121"/>
      <c r="D21" s="1122"/>
      <c r="E21" s="1137"/>
      <c r="F21" s="1046"/>
    </row>
    <row r="22" spans="1:6" ht="15.75" customHeight="1">
      <c r="A22" s="1115" t="s">
        <v>904</v>
      </c>
      <c r="B22" s="1136" t="s">
        <v>619</v>
      </c>
      <c r="C22" s="1121"/>
      <c r="D22" s="1122"/>
      <c r="E22" s="1137"/>
      <c r="F22" s="1046"/>
    </row>
    <row r="23" spans="1:6" ht="15.75" customHeight="1">
      <c r="A23" s="1115"/>
      <c r="B23" s="1136" t="s">
        <v>620</v>
      </c>
      <c r="C23" s="1121"/>
      <c r="D23" s="1122"/>
      <c r="E23" s="1137"/>
      <c r="F23" s="1046"/>
    </row>
    <row r="24" spans="1:6" ht="15.75" customHeight="1">
      <c r="A24" s="1115"/>
      <c r="B24" s="1136" t="s">
        <v>627</v>
      </c>
      <c r="C24" s="1121"/>
      <c r="D24" s="1122"/>
      <c r="E24" s="1137"/>
      <c r="F24" s="1046"/>
    </row>
    <row r="25" spans="1:6" ht="15.75" customHeight="1">
      <c r="A25" s="1115"/>
      <c r="B25" s="1136" t="s">
        <v>773</v>
      </c>
      <c r="C25" s="1121"/>
      <c r="D25" s="1122"/>
      <c r="E25" s="1137"/>
      <c r="F25" s="1046"/>
    </row>
    <row r="26" spans="1:6" ht="15.75" customHeight="1">
      <c r="A26" s="1115"/>
      <c r="B26" s="1136" t="s">
        <v>775</v>
      </c>
      <c r="C26" s="1121"/>
      <c r="D26" s="1122"/>
      <c r="E26" s="1137"/>
      <c r="F26" s="1046"/>
    </row>
    <row r="27" spans="1:6" ht="15.75" customHeight="1">
      <c r="A27" s="1115"/>
      <c r="B27" s="1136" t="s">
        <v>777</v>
      </c>
      <c r="C27" s="1121"/>
      <c r="D27" s="1122"/>
      <c r="E27" s="1137"/>
      <c r="F27" s="1046"/>
    </row>
    <row r="28" spans="1:6" ht="15.75" customHeight="1">
      <c r="A28" s="1115"/>
      <c r="B28" s="1136" t="s">
        <v>779</v>
      </c>
      <c r="C28" s="1121"/>
      <c r="D28" s="1122"/>
      <c r="E28" s="1137"/>
      <c r="F28" s="1046"/>
    </row>
    <row r="29" spans="1:6" ht="15.75" customHeight="1">
      <c r="A29" s="1115"/>
      <c r="B29" s="1136" t="s">
        <v>781</v>
      </c>
      <c r="C29" s="1121"/>
      <c r="D29" s="1122"/>
      <c r="E29" s="1137"/>
      <c r="F29" s="1046"/>
    </row>
    <row r="30" spans="1:6" ht="15.75" customHeight="1">
      <c r="A30" s="1115"/>
      <c r="B30" s="1136" t="s">
        <v>783</v>
      </c>
      <c r="C30" s="1121"/>
      <c r="D30" s="1122"/>
      <c r="E30" s="1137"/>
      <c r="F30" s="1046"/>
    </row>
    <row r="31" spans="1:6" ht="15.75" customHeight="1">
      <c r="A31" s="1115"/>
      <c r="B31" s="1136" t="s">
        <v>785</v>
      </c>
      <c r="C31" s="1121"/>
      <c r="D31" s="1122"/>
      <c r="E31" s="1137"/>
      <c r="F31" s="1046"/>
    </row>
    <row r="32" spans="1:6" ht="15.75" customHeight="1">
      <c r="A32" s="1115"/>
      <c r="B32" s="1136" t="s">
        <v>787</v>
      </c>
      <c r="C32" s="1121"/>
      <c r="D32" s="1122"/>
      <c r="E32" s="1137"/>
      <c r="F32" s="1046"/>
    </row>
    <row r="33" spans="1:6" ht="15.75" customHeight="1">
      <c r="A33" s="1115"/>
      <c r="B33" s="1136" t="s">
        <v>789</v>
      </c>
      <c r="C33" s="1121"/>
      <c r="D33" s="1122"/>
      <c r="E33" s="1137"/>
      <c r="F33" s="1046"/>
    </row>
    <row r="34" spans="1:6" ht="15.75" customHeight="1">
      <c r="A34" s="1115"/>
      <c r="B34" s="1136" t="s">
        <v>791</v>
      </c>
      <c r="C34" s="1121"/>
      <c r="D34" s="1122"/>
      <c r="E34" s="1137"/>
      <c r="F34" s="1046"/>
    </row>
    <row r="35" spans="1:6" ht="15.75" customHeight="1">
      <c r="A35" s="1115"/>
      <c r="B35" s="1136" t="s">
        <v>793</v>
      </c>
      <c r="C35" s="1121"/>
      <c r="D35" s="1122"/>
      <c r="E35" s="1137"/>
      <c r="F35" s="1046"/>
    </row>
    <row r="36" spans="1:6" ht="15.75" customHeight="1">
      <c r="A36" s="1115"/>
      <c r="B36" s="1136" t="s">
        <v>795</v>
      </c>
      <c r="C36" s="1121"/>
      <c r="D36" s="1122"/>
      <c r="E36" s="1137"/>
      <c r="F36" s="1046"/>
    </row>
    <row r="37" spans="1:6" ht="15.75" customHeight="1" thickBot="1">
      <c r="A37" s="1125"/>
      <c r="B37" s="1126" t="s">
        <v>797</v>
      </c>
      <c r="C37" s="1127"/>
      <c r="D37" s="1128"/>
      <c r="E37" s="1138"/>
      <c r="F37" s="1046"/>
    </row>
    <row r="38" spans="1:6" ht="15.75" customHeight="1" thickBot="1">
      <c r="A38" s="1553" t="s">
        <v>905</v>
      </c>
      <c r="B38" s="1553"/>
      <c r="C38" s="1143"/>
      <c r="D38" s="1144">
        <f>SUM(D5+D6+D8+D9+D7)</f>
        <v>145508707</v>
      </c>
      <c r="E38" s="1145">
        <f>E9+E14+E18+E19+E20+E21+E22</f>
        <v>0</v>
      </c>
      <c r="F38" s="1780"/>
    </row>
  </sheetData>
  <sheetProtection selectLockedCells="1" selectUnlockedCells="1"/>
  <mergeCells count="3">
    <mergeCell ref="A1:E1"/>
    <mergeCell ref="D2:E2"/>
    <mergeCell ref="A38:B3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&amp;R13.d.számú melléklet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zoomScale="55" zoomScaleNormal="55" workbookViewId="0" topLeftCell="A22">
      <selection activeCell="I9" sqref="I9"/>
    </sheetView>
  </sheetViews>
  <sheetFormatPr defaultColWidth="9.140625" defaultRowHeight="12.75"/>
  <cols>
    <col min="1" max="1" width="7.7109375" style="69" customWidth="1"/>
    <col min="2" max="2" width="3.8515625" style="28" customWidth="1"/>
    <col min="3" max="3" width="5.28125" style="28" customWidth="1"/>
    <col min="4" max="4" width="66.57421875" style="14" customWidth="1"/>
    <col min="5" max="5" width="27.28125" style="1" customWidth="1"/>
    <col min="6" max="6" width="30.8515625" style="1" hidden="1" customWidth="1"/>
    <col min="7" max="7" width="26.00390625" style="1" hidden="1" customWidth="1"/>
    <col min="8" max="8" width="28.7109375" style="1" customWidth="1"/>
    <col min="9" max="10" width="20.421875" style="1" customWidth="1"/>
    <col min="11" max="11" width="20.421875" style="37" customWidth="1"/>
    <col min="12" max="12" width="21.28125" style="37" hidden="1" customWidth="1"/>
    <col min="13" max="13" width="23.8515625" style="37" hidden="1" customWidth="1"/>
    <col min="14" max="16" width="22.8515625" style="37" customWidth="1"/>
    <col min="17" max="17" width="22.8515625" style="37" hidden="1" customWidth="1"/>
    <col min="18" max="18" width="22.8515625" style="37" customWidth="1"/>
    <col min="19" max="20" width="22.8515625" style="37" hidden="1" customWidth="1"/>
    <col min="21" max="24" width="22.8515625" style="37" customWidth="1"/>
    <col min="25" max="25" width="22.8515625" style="1" hidden="1" customWidth="1"/>
    <col min="26" max="26" width="28.00390625" style="1" hidden="1" customWidth="1"/>
    <col min="27" max="29" width="22.8515625" style="1" customWidth="1"/>
    <col min="30" max="31" width="22.8515625" style="1" hidden="1" customWidth="1"/>
    <col min="32" max="32" width="22.8515625" style="1" customWidth="1"/>
    <col min="33" max="16384" width="9.140625" style="1" customWidth="1"/>
  </cols>
  <sheetData>
    <row r="1" spans="1:24" ht="24.75" customHeight="1">
      <c r="A1" s="1401" t="s">
        <v>8</v>
      </c>
      <c r="B1" s="1401"/>
      <c r="C1" s="1401"/>
      <c r="D1" s="1401"/>
      <c r="E1" s="1401"/>
      <c r="F1" s="1401"/>
      <c r="G1" s="1401"/>
      <c r="H1" s="1401"/>
      <c r="I1" s="1401"/>
      <c r="J1" s="1401"/>
      <c r="K1" s="1401"/>
      <c r="L1" s="1401"/>
      <c r="M1" s="1401"/>
      <c r="N1" s="1401"/>
      <c r="O1" s="1401"/>
      <c r="P1" s="1401"/>
      <c r="Q1" s="1401"/>
      <c r="R1" s="1401"/>
      <c r="S1" s="1401"/>
      <c r="T1" s="1401"/>
      <c r="U1" s="1401"/>
      <c r="V1" s="1401"/>
      <c r="W1" s="1401"/>
      <c r="X1" s="1401"/>
    </row>
    <row r="2" spans="1:24" ht="14.25" customHeight="1" thickBot="1">
      <c r="A2" s="684" t="s">
        <v>196</v>
      </c>
      <c r="B2" s="684"/>
      <c r="C2" s="68"/>
      <c r="D2" s="82"/>
      <c r="X2" s="80" t="s">
        <v>443</v>
      </c>
    </row>
    <row r="3" spans="1:30" s="2" customFormat="1" ht="48.75" customHeight="1" thickBot="1">
      <c r="A3" s="1402" t="s">
        <v>4</v>
      </c>
      <c r="B3" s="1379"/>
      <c r="C3" s="1379"/>
      <c r="D3" s="1379"/>
      <c r="E3" s="338" t="s">
        <v>5</v>
      </c>
      <c r="F3" s="302"/>
      <c r="G3" s="302"/>
      <c r="H3" s="302"/>
      <c r="I3" s="302"/>
      <c r="J3" s="303"/>
      <c r="K3" s="338" t="s">
        <v>61</v>
      </c>
      <c r="L3" s="302"/>
      <c r="M3" s="302"/>
      <c r="N3" s="302"/>
      <c r="O3" s="302"/>
      <c r="P3" s="680"/>
      <c r="Q3" s="303"/>
      <c r="R3" s="338" t="s">
        <v>62</v>
      </c>
      <c r="S3" s="302"/>
      <c r="T3" s="302"/>
      <c r="U3" s="302"/>
      <c r="V3" s="302"/>
      <c r="W3" s="303"/>
      <c r="X3" s="1403" t="s">
        <v>66</v>
      </c>
      <c r="Y3" s="1404"/>
      <c r="Z3" s="1404"/>
      <c r="AA3" s="1404"/>
      <c r="AB3" s="1404"/>
      <c r="AC3" s="1404"/>
      <c r="AD3" s="1405"/>
    </row>
    <row r="4" spans="1:31" s="2" customFormat="1" ht="16.5" thickBot="1">
      <c r="A4" s="231"/>
      <c r="B4" s="229"/>
      <c r="C4" s="229"/>
      <c r="D4" s="229"/>
      <c r="E4" s="272" t="s">
        <v>65</v>
      </c>
      <c r="F4" s="273" t="s">
        <v>227</v>
      </c>
      <c r="G4" s="273" t="s">
        <v>230</v>
      </c>
      <c r="H4" s="273" t="s">
        <v>232</v>
      </c>
      <c r="I4" s="273" t="s">
        <v>235</v>
      </c>
      <c r="J4" s="274" t="s">
        <v>236</v>
      </c>
      <c r="K4" s="272" t="s">
        <v>65</v>
      </c>
      <c r="L4" s="273" t="s">
        <v>227</v>
      </c>
      <c r="M4" s="273" t="s">
        <v>230</v>
      </c>
      <c r="N4" s="273" t="s">
        <v>232</v>
      </c>
      <c r="O4" s="273" t="s">
        <v>235</v>
      </c>
      <c r="P4" s="274" t="s">
        <v>236</v>
      </c>
      <c r="Q4" s="274" t="s">
        <v>236</v>
      </c>
      <c r="R4" s="272" t="s">
        <v>65</v>
      </c>
      <c r="S4" s="273" t="s">
        <v>227</v>
      </c>
      <c r="T4" s="273" t="s">
        <v>230</v>
      </c>
      <c r="U4" s="273" t="s">
        <v>232</v>
      </c>
      <c r="V4" s="273" t="s">
        <v>235</v>
      </c>
      <c r="W4" s="274" t="s">
        <v>236</v>
      </c>
      <c r="X4" s="272" t="s">
        <v>65</v>
      </c>
      <c r="Y4" s="273" t="s">
        <v>227</v>
      </c>
      <c r="Z4" s="273" t="s">
        <v>230</v>
      </c>
      <c r="AA4" s="273" t="s">
        <v>232</v>
      </c>
      <c r="AB4" s="273" t="s">
        <v>235</v>
      </c>
      <c r="AC4" s="274" t="s">
        <v>236</v>
      </c>
      <c r="AD4" s="274" t="s">
        <v>249</v>
      </c>
      <c r="AE4" s="672"/>
    </row>
    <row r="5" spans="1:30" s="36" customFormat="1" ht="33" customHeight="1" thickBot="1">
      <c r="A5" s="61" t="s">
        <v>27</v>
      </c>
      <c r="B5" s="1390" t="s">
        <v>78</v>
      </c>
      <c r="C5" s="1390"/>
      <c r="D5" s="1390"/>
      <c r="E5" s="275">
        <f aca="true" t="shared" si="0" ref="E5:N5">SUM(E6:E10)</f>
        <v>599808435</v>
      </c>
      <c r="F5" s="275">
        <f t="shared" si="0"/>
        <v>607649770</v>
      </c>
      <c r="G5" s="275">
        <f t="shared" si="0"/>
        <v>613199562</v>
      </c>
      <c r="H5" s="275">
        <f>SUM(H6:H10)</f>
        <v>660021297</v>
      </c>
      <c r="I5" s="275">
        <f>SUM(I6:I10)</f>
        <v>503353411</v>
      </c>
      <c r="J5" s="955">
        <f>+I5/H5</f>
        <v>0.7626320745828903</v>
      </c>
      <c r="K5" s="275">
        <f t="shared" si="0"/>
        <v>498117195</v>
      </c>
      <c r="L5" s="35">
        <f t="shared" si="0"/>
        <v>506398078</v>
      </c>
      <c r="M5" s="35">
        <f t="shared" si="0"/>
        <v>511917869</v>
      </c>
      <c r="N5" s="35">
        <f t="shared" si="0"/>
        <v>555016605</v>
      </c>
      <c r="O5" s="35">
        <f>SUM(O6:O10)</f>
        <v>473558298</v>
      </c>
      <c r="P5" s="955">
        <f>+O5/N5</f>
        <v>0.8532326667956177</v>
      </c>
      <c r="Q5" s="611" t="e">
        <f>#REF!/N5</f>
        <v>#REF!</v>
      </c>
      <c r="R5" s="275">
        <f aca="true" t="shared" si="1" ref="R5:Z5">SUM(R6:R10)</f>
        <v>101691240</v>
      </c>
      <c r="S5" s="35">
        <f>SUM(S6:S10)</f>
        <v>101251692</v>
      </c>
      <c r="T5" s="35">
        <f>SUM(T6:T10)</f>
        <v>101281693</v>
      </c>
      <c r="U5" s="35">
        <f>SUM(U6:U10)</f>
        <v>105004692</v>
      </c>
      <c r="V5" s="35">
        <f>SUM(V6:V10)</f>
        <v>29795113</v>
      </c>
      <c r="W5" s="955">
        <f>+V5/U5</f>
        <v>0.2837503013674856</v>
      </c>
      <c r="X5" s="275">
        <f t="shared" si="1"/>
        <v>5776781</v>
      </c>
      <c r="Y5" s="35">
        <f t="shared" si="1"/>
        <v>5776781</v>
      </c>
      <c r="Z5" s="35">
        <f t="shared" si="1"/>
        <v>5776781</v>
      </c>
      <c r="AA5" s="35">
        <f>SUM(AA6:AA10)</f>
        <v>5776781</v>
      </c>
      <c r="AB5" s="35">
        <f>SUM(AB6:AB10)</f>
        <v>5538912</v>
      </c>
      <c r="AC5" s="955">
        <f>+AB5/AA5</f>
        <v>0.958823261605382</v>
      </c>
      <c r="AD5" s="649">
        <f>SUM(AD6:AD10)</f>
        <v>0</v>
      </c>
    </row>
    <row r="6" spans="1:30" s="4" customFormat="1" ht="33" customHeight="1">
      <c r="A6" s="60"/>
      <c r="B6" s="65" t="s">
        <v>36</v>
      </c>
      <c r="C6" s="65"/>
      <c r="D6" s="267" t="s">
        <v>0</v>
      </c>
      <c r="E6" s="276">
        <f>'4.sz.m.ÖNK kiadás'!E7+'5.1 sz. m Köz Hiv'!D35+'5.2 sz. m ÁMK'!D38+'üres lap'!D27</f>
        <v>213283530</v>
      </c>
      <c r="F6" s="276">
        <f>'4.sz.m.ÖNK kiadás'!F7+'5.1 sz. m Köz Hiv'!E35+'5.2 sz. m ÁMK'!E38+'üres lap'!E27</f>
        <v>215357518</v>
      </c>
      <c r="G6" s="276">
        <f>'4.sz.m.ÖNK kiadás'!G7+'5.1 sz. m Köz Hiv'!F35+'5.2 sz. m ÁMK'!F38+'üres lap'!F27</f>
        <v>217891446</v>
      </c>
      <c r="H6" s="276">
        <f>'4.sz.m.ÖNK kiadás'!H7+'5.1 sz. m Köz Hiv'!G35+'5.2 sz. m ÁMK'!G38+'üres lap'!G27</f>
        <v>211212257</v>
      </c>
      <c r="I6" s="276">
        <f>'4.sz.m.ÖNK kiadás'!I7+'5.1 sz. m Köz Hiv'!H35+'5.2 sz. m ÁMK'!H38+'üres lap'!H27</f>
        <v>185017968</v>
      </c>
      <c r="J6" s="1312">
        <f aca="true" t="shared" si="2" ref="J6:J36">+I6/H6</f>
        <v>0.8759812078519666</v>
      </c>
      <c r="K6" s="276">
        <f aca="true" t="shared" si="3" ref="K6:O13">E6-R6</f>
        <v>179843530</v>
      </c>
      <c r="L6" s="228">
        <f t="shared" si="3"/>
        <v>181917518</v>
      </c>
      <c r="M6" s="228">
        <f t="shared" si="3"/>
        <v>184451446</v>
      </c>
      <c r="N6" s="228">
        <f t="shared" si="3"/>
        <v>173537257</v>
      </c>
      <c r="O6" s="228">
        <f t="shared" si="3"/>
        <v>171920113</v>
      </c>
      <c r="P6" s="1312">
        <f aca="true" t="shared" si="4" ref="P6:P36">+O6/N6</f>
        <v>0.990681286382209</v>
      </c>
      <c r="Q6" s="616" t="e">
        <f>#REF!/N6</f>
        <v>#REF!</v>
      </c>
      <c r="R6" s="276">
        <f>'4.sz.m.ÖNK kiadás'!S7</f>
        <v>33440000</v>
      </c>
      <c r="S6" s="228">
        <f>'4.sz.m.ÖNK kiadás'!T7</f>
        <v>33440000</v>
      </c>
      <c r="T6" s="228">
        <f>'4.sz.m.ÖNK kiadás'!U7</f>
        <v>33440000</v>
      </c>
      <c r="U6" s="228">
        <f>'4.sz.m.ÖNK kiadás'!V7+'5.1 sz. m Köz Hiv'!S35</f>
        <v>37675000</v>
      </c>
      <c r="V6" s="228">
        <f>'4.sz.m.ÖNK kiadás'!W7+'5.1 sz. m Köz Hiv'!T35</f>
        <v>13097855</v>
      </c>
      <c r="W6" s="1312">
        <f aca="true" t="shared" si="5" ref="W6:W36">+V6/U6</f>
        <v>0.3476537491705375</v>
      </c>
      <c r="X6" s="276">
        <f>'5.1 sz. m Köz Hiv'!V35</f>
        <v>3813230</v>
      </c>
      <c r="Y6" s="228">
        <f>'5.1 sz. m Köz Hiv'!W35</f>
        <v>3813230</v>
      </c>
      <c r="Z6" s="228">
        <f>'5.1 sz. m Köz Hiv'!X35</f>
        <v>3813230</v>
      </c>
      <c r="AA6" s="228">
        <f>'5.1 sz. m Köz Hiv'!Y35</f>
        <v>3813230</v>
      </c>
      <c r="AB6" s="228">
        <f>'5.1 sz. m Köz Hiv'!Z35</f>
        <v>3813230</v>
      </c>
      <c r="AC6" s="1312">
        <f>+AB6/AA6</f>
        <v>1</v>
      </c>
      <c r="AD6" s="650">
        <f>'5.1 sz. m Köz Hiv'!AD35</f>
        <v>0</v>
      </c>
    </row>
    <row r="7" spans="1:30" s="4" customFormat="1" ht="33" customHeight="1">
      <c r="A7" s="43"/>
      <c r="B7" s="52" t="s">
        <v>37</v>
      </c>
      <c r="C7" s="52"/>
      <c r="D7" s="268" t="s">
        <v>79</v>
      </c>
      <c r="E7" s="276">
        <f>'4.sz.m.ÖNK kiadás'!E8+'5.1 sz. m Köz Hiv'!D36+'5.2 sz. m ÁMK'!D39+'üres lap'!D28</f>
        <v>44215522</v>
      </c>
      <c r="F7" s="276">
        <f>'4.sz.m.ÖNK kiadás'!F8+'5.1 sz. m Köz Hiv'!E36+'5.2 sz. m ÁMK'!E39+'üres lap'!E28</f>
        <v>44575431</v>
      </c>
      <c r="G7" s="276">
        <f>'4.sz.m.ÖNK kiadás'!G8+'5.1 sz. m Köz Hiv'!F36+'5.2 sz. m ÁMK'!F39+'üres lap'!F28</f>
        <v>45182658</v>
      </c>
      <c r="H7" s="276">
        <f>'4.sz.m.ÖNK kiadás'!H8+'5.1 sz. m Köz Hiv'!G36+'5.2 sz. m ÁMK'!G39+'üres lap'!G28</f>
        <v>43933397</v>
      </c>
      <c r="I7" s="276">
        <f>'4.sz.m.ÖNK kiadás'!I8+'5.1 sz. m Köz Hiv'!H36+'5.2 sz. m ÁMK'!H39+'üres lap'!H28</f>
        <v>37326024</v>
      </c>
      <c r="J7" s="1312">
        <f t="shared" si="2"/>
        <v>0.8496047778868545</v>
      </c>
      <c r="K7" s="276">
        <f t="shared" si="3"/>
        <v>36858722</v>
      </c>
      <c r="L7" s="228">
        <f t="shared" si="3"/>
        <v>37218630</v>
      </c>
      <c r="M7" s="228">
        <f t="shared" si="3"/>
        <v>37825856</v>
      </c>
      <c r="N7" s="228">
        <f t="shared" si="3"/>
        <v>35750772</v>
      </c>
      <c r="O7" s="228">
        <f t="shared" si="3"/>
        <v>34838623</v>
      </c>
      <c r="P7" s="1312">
        <f t="shared" si="4"/>
        <v>0.9744858936193043</v>
      </c>
      <c r="Q7" s="616" t="e">
        <f>#REF!/N7</f>
        <v>#REF!</v>
      </c>
      <c r="R7" s="276">
        <f>'4.sz.m.ÖNK kiadás'!S8</f>
        <v>7356800</v>
      </c>
      <c r="S7" s="228">
        <f>'4.sz.m.ÖNK kiadás'!T8</f>
        <v>7356801</v>
      </c>
      <c r="T7" s="228">
        <f>'4.sz.m.ÖNK kiadás'!U8</f>
        <v>7356802</v>
      </c>
      <c r="U7" s="228">
        <f>'4.sz.m.ÖNK kiadás'!V8+'5.1 sz. m Köz Hiv'!S36</f>
        <v>8182625</v>
      </c>
      <c r="V7" s="228">
        <f>'4.sz.m.ÖNK kiadás'!W8+'5.1 sz. m Köz Hiv'!T36</f>
        <v>2487401</v>
      </c>
      <c r="W7" s="1312">
        <f t="shared" si="5"/>
        <v>0.30398570140999986</v>
      </c>
      <c r="X7" s="276">
        <f>'5.1 sz. m Köz Hiv'!V36</f>
        <v>763740</v>
      </c>
      <c r="Y7" s="228">
        <f>'5.1 sz. m Köz Hiv'!W36</f>
        <v>763740</v>
      </c>
      <c r="Z7" s="228">
        <f>'5.1 sz. m Köz Hiv'!X36</f>
        <v>763740</v>
      </c>
      <c r="AA7" s="228">
        <f>'5.1 sz. m Köz Hiv'!Y36</f>
        <v>763740</v>
      </c>
      <c r="AB7" s="228">
        <f>'5.1 sz. m Köz Hiv'!Z36</f>
        <v>763740</v>
      </c>
      <c r="AC7" s="1312">
        <f>+AB7/AA7</f>
        <v>1</v>
      </c>
      <c r="AD7" s="650">
        <f>'5.1 sz. m Köz Hiv'!AD36</f>
        <v>0</v>
      </c>
    </row>
    <row r="8" spans="1:30" s="4" customFormat="1" ht="33" customHeight="1">
      <c r="A8" s="43"/>
      <c r="B8" s="52" t="s">
        <v>38</v>
      </c>
      <c r="C8" s="52"/>
      <c r="D8" s="268" t="s">
        <v>80</v>
      </c>
      <c r="E8" s="276">
        <f>'4.sz.m.ÖNK kiadás'!E9+'5.1 sz. m Köz Hiv'!D37+'5.2 sz. m ÁMK'!D40+'üres lap'!D29</f>
        <v>179846281</v>
      </c>
      <c r="F8" s="276">
        <f>'4.sz.m.ÖNK kiadás'!F9+'5.1 sz. m Köz Hiv'!E37+'5.2 sz. m ÁMK'!E40+'üres lap'!E29</f>
        <v>185693268</v>
      </c>
      <c r="G8" s="276">
        <f>'4.sz.m.ÖNK kiadás'!G9+'5.1 sz. m Köz Hiv'!F37+'5.2 sz. m ÁMK'!F40+'üres lap'!F29</f>
        <v>190706345</v>
      </c>
      <c r="H8" s="276">
        <f>'4.sz.m.ÖNK kiadás'!H9+'5.1 sz. m Köz Hiv'!G37+'5.2 sz. m ÁMK'!G40+'üres lap'!G29</f>
        <v>253941314</v>
      </c>
      <c r="I8" s="276">
        <f>'4.sz.m.ÖNK kiadás'!I9+'5.1 sz. m Köz Hiv'!H37+'5.2 sz. m ÁMK'!H40+'üres lap'!H29</f>
        <v>131025090</v>
      </c>
      <c r="J8" s="1312">
        <f t="shared" si="2"/>
        <v>0.51596602355141</v>
      </c>
      <c r="K8" s="276">
        <f t="shared" si="3"/>
        <v>132304700</v>
      </c>
      <c r="L8" s="228">
        <f t="shared" si="3"/>
        <v>138151687</v>
      </c>
      <c r="M8" s="228">
        <f t="shared" si="3"/>
        <v>143164764</v>
      </c>
      <c r="N8" s="228">
        <f t="shared" si="3"/>
        <v>206295633</v>
      </c>
      <c r="O8" s="228">
        <f t="shared" si="3"/>
        <v>128316619</v>
      </c>
      <c r="P8" s="1312">
        <f t="shared" si="4"/>
        <v>0.6220035641762712</v>
      </c>
      <c r="Q8" s="616" t="e">
        <f>#REF!/N8</f>
        <v>#REF!</v>
      </c>
      <c r="R8" s="276">
        <f>'4.sz.m.ÖNK kiadás'!S9</f>
        <v>47541581</v>
      </c>
      <c r="S8" s="228">
        <f>'4.sz.m.ÖNK kiadás'!T9</f>
        <v>47541581</v>
      </c>
      <c r="T8" s="228">
        <f>'4.sz.m.ÖNK kiadás'!U9</f>
        <v>47541581</v>
      </c>
      <c r="U8" s="228">
        <f>'4.sz.m.ÖNK kiadás'!V9</f>
        <v>47645681</v>
      </c>
      <c r="V8" s="228">
        <f>'4.sz.m.ÖNK kiadás'!W9</f>
        <v>2708471</v>
      </c>
      <c r="W8" s="1312">
        <f t="shared" si="5"/>
        <v>0.05684609692114591</v>
      </c>
      <c r="X8" s="276">
        <f>'5.1 sz. m Köz Hiv'!V37</f>
        <v>1199811</v>
      </c>
      <c r="Y8" s="228">
        <f>'5.1 sz. m Köz Hiv'!W37</f>
        <v>1199811</v>
      </c>
      <c r="Z8" s="228">
        <f>'5.1 sz. m Köz Hiv'!X37</f>
        <v>1199811</v>
      </c>
      <c r="AA8" s="228">
        <f>'5.1 sz. m Köz Hiv'!Y37</f>
        <v>1199811</v>
      </c>
      <c r="AB8" s="228">
        <f>'5.1 sz. m Köz Hiv'!Z37</f>
        <v>961942</v>
      </c>
      <c r="AC8" s="1312">
        <f>+AB8/AA8</f>
        <v>0.8017446081091105</v>
      </c>
      <c r="AD8" s="650">
        <f>'5.1 sz. m Köz Hiv'!AD37</f>
        <v>0</v>
      </c>
    </row>
    <row r="9" spans="1:30" s="4" customFormat="1" ht="33" customHeight="1">
      <c r="A9" s="43"/>
      <c r="B9" s="52" t="s">
        <v>49</v>
      </c>
      <c r="C9" s="52"/>
      <c r="D9" s="268" t="s">
        <v>81</v>
      </c>
      <c r="E9" s="276">
        <f>'4.sz.m.ÖNK kiadás'!E10+'5.1 sz. m Köz Hiv'!D38+'5.2 sz. m ÁMK'!D41+'üres lap'!D30</f>
        <v>2250000</v>
      </c>
      <c r="F9" s="276">
        <f>'4.sz.m.ÖNK kiadás'!F10+'5.1 sz. m Köz Hiv'!E38+'5.2 sz. m ÁMK'!E41+'üres lap'!E30</f>
        <v>2250000</v>
      </c>
      <c r="G9" s="276">
        <f>'4.sz.m.ÖNK kiadás'!G10+'5.1 sz. m Köz Hiv'!F38+'5.2 sz. m ÁMK'!F41+'üres lap'!F30</f>
        <v>2401000</v>
      </c>
      <c r="H9" s="276">
        <f>'4.sz.m.ÖNK kiadás'!H10+'5.1 sz. m Köz Hiv'!G38+'5.2 sz. m ÁMK'!G41+'üres lap'!G30</f>
        <v>2564000</v>
      </c>
      <c r="I9" s="276">
        <f>'4.sz.m.ÖNK kiadás'!I10+'5.1 sz. m Köz Hiv'!H38+'5.2 sz. m ÁMK'!H41+'üres lap'!H30</f>
        <v>1614000</v>
      </c>
      <c r="J9" s="1312">
        <f t="shared" si="2"/>
        <v>0.6294851794071763</v>
      </c>
      <c r="K9" s="276">
        <f t="shared" si="3"/>
        <v>2250000</v>
      </c>
      <c r="L9" s="228">
        <f t="shared" si="3"/>
        <v>2250000</v>
      </c>
      <c r="M9" s="228">
        <f t="shared" si="3"/>
        <v>2401000</v>
      </c>
      <c r="N9" s="228">
        <f t="shared" si="3"/>
        <v>2564000</v>
      </c>
      <c r="O9" s="228">
        <f t="shared" si="3"/>
        <v>1614000</v>
      </c>
      <c r="P9" s="1312">
        <f t="shared" si="4"/>
        <v>0.6294851794071763</v>
      </c>
      <c r="Q9" s="616" t="e">
        <f>#REF!/N9</f>
        <v>#REF!</v>
      </c>
      <c r="R9" s="276">
        <f>'4.sz.m.ÖNK kiadás'!S10</f>
        <v>0</v>
      </c>
      <c r="S9" s="228">
        <f>'4.sz.m.ÖNK kiadás'!T10</f>
        <v>0</v>
      </c>
      <c r="T9" s="228">
        <f>'4.sz.m.ÖNK kiadás'!U10</f>
        <v>0</v>
      </c>
      <c r="U9" s="228">
        <f>'4.sz.m.ÖNK kiadás'!V10</f>
        <v>0</v>
      </c>
      <c r="V9" s="228">
        <f>'4.sz.m.ÖNK kiadás'!W10</f>
        <v>0</v>
      </c>
      <c r="W9" s="1312"/>
      <c r="X9" s="276">
        <v>0</v>
      </c>
      <c r="Y9" s="228"/>
      <c r="Z9" s="228"/>
      <c r="AA9" s="228"/>
      <c r="AB9" s="228"/>
      <c r="AC9" s="1312"/>
      <c r="AD9" s="650"/>
    </row>
    <row r="10" spans="1:30" s="4" customFormat="1" ht="33" customHeight="1">
      <c r="A10" s="43"/>
      <c r="B10" s="52" t="s">
        <v>50</v>
      </c>
      <c r="C10" s="52"/>
      <c r="D10" s="269" t="s">
        <v>83</v>
      </c>
      <c r="E10" s="276">
        <f>SUM(E11:E15)</f>
        <v>160213102</v>
      </c>
      <c r="F10" s="276">
        <f>SUM(F11:F15)</f>
        <v>159773553</v>
      </c>
      <c r="G10" s="276">
        <f>SUM(G11:G15)</f>
        <v>157018113</v>
      </c>
      <c r="H10" s="276">
        <f>SUM(H11:H15)</f>
        <v>148370329</v>
      </c>
      <c r="I10" s="276">
        <f>SUM(I11:I15)</f>
        <v>148370329</v>
      </c>
      <c r="J10" s="1312">
        <f t="shared" si="2"/>
        <v>1</v>
      </c>
      <c r="K10" s="276">
        <f t="shared" si="3"/>
        <v>146860243</v>
      </c>
      <c r="L10" s="228">
        <f t="shared" si="3"/>
        <v>146860243</v>
      </c>
      <c r="M10" s="228">
        <f t="shared" si="3"/>
        <v>144074803</v>
      </c>
      <c r="N10" s="228">
        <f t="shared" si="3"/>
        <v>136868943</v>
      </c>
      <c r="O10" s="228">
        <f t="shared" si="3"/>
        <v>136868943</v>
      </c>
      <c r="P10" s="1312">
        <f t="shared" si="4"/>
        <v>1</v>
      </c>
      <c r="Q10" s="616" t="e">
        <f>#REF!/N10</f>
        <v>#REF!</v>
      </c>
      <c r="R10" s="276">
        <f>'4.sz.m.ÖNK kiadás'!S11</f>
        <v>13352859</v>
      </c>
      <c r="S10" s="228">
        <f>'4.sz.m.ÖNK kiadás'!T11</f>
        <v>12913310</v>
      </c>
      <c r="T10" s="228">
        <f>'4.sz.m.ÖNK kiadás'!U11</f>
        <v>12943310</v>
      </c>
      <c r="U10" s="228">
        <f>'4.sz.m.ÖNK kiadás'!V11</f>
        <v>11501386</v>
      </c>
      <c r="V10" s="228">
        <f>'4.sz.m.ÖNK kiadás'!W11</f>
        <v>11501386</v>
      </c>
      <c r="W10" s="1312">
        <f t="shared" si="5"/>
        <v>1</v>
      </c>
      <c r="X10" s="276">
        <v>0</v>
      </c>
      <c r="Y10" s="228"/>
      <c r="Z10" s="228"/>
      <c r="AA10" s="228"/>
      <c r="AB10" s="228"/>
      <c r="AC10" s="1312"/>
      <c r="AD10" s="650"/>
    </row>
    <row r="11" spans="1:30" s="4" customFormat="1" ht="33" customHeight="1">
      <c r="A11" s="43"/>
      <c r="B11" s="73"/>
      <c r="C11" s="52" t="s">
        <v>82</v>
      </c>
      <c r="D11" s="268" t="s">
        <v>276</v>
      </c>
      <c r="E11" s="276">
        <f>'4.sz.m.ÖNK kiadás'!E12</f>
        <v>0</v>
      </c>
      <c r="F11" s="276">
        <f>'4.sz.m.ÖNK kiadás'!F12</f>
        <v>0</v>
      </c>
      <c r="G11" s="276">
        <f>'4.sz.m.ÖNK kiadás'!G12</f>
        <v>0</v>
      </c>
      <c r="H11" s="276">
        <f>'4.sz.m.ÖNK kiadás'!H12</f>
        <v>276452</v>
      </c>
      <c r="I11" s="276">
        <f>'4.sz.m.ÖNK kiadás'!I12</f>
        <v>276452</v>
      </c>
      <c r="J11" s="1312">
        <f t="shared" si="2"/>
        <v>1</v>
      </c>
      <c r="K11" s="276">
        <f t="shared" si="3"/>
        <v>0</v>
      </c>
      <c r="L11" s="228">
        <f t="shared" si="3"/>
        <v>0</v>
      </c>
      <c r="M11" s="228">
        <f t="shared" si="3"/>
        <v>0</v>
      </c>
      <c r="N11" s="228">
        <f t="shared" si="3"/>
        <v>276452</v>
      </c>
      <c r="O11" s="228">
        <f t="shared" si="3"/>
        <v>276452</v>
      </c>
      <c r="P11" s="1312">
        <f t="shared" si="4"/>
        <v>1</v>
      </c>
      <c r="Q11" s="616" t="e">
        <f>#REF!/N11</f>
        <v>#REF!</v>
      </c>
      <c r="R11" s="276">
        <f>'4.sz.m.ÖNK kiadás'!S12</f>
        <v>0</v>
      </c>
      <c r="S11" s="228">
        <f>'4.sz.m.ÖNK kiadás'!T12</f>
        <v>0</v>
      </c>
      <c r="T11" s="228">
        <f>'4.sz.m.ÖNK kiadás'!U12</f>
        <v>0</v>
      </c>
      <c r="U11" s="228">
        <f>'4.sz.m.ÖNK kiadás'!V12</f>
        <v>0</v>
      </c>
      <c r="V11" s="228">
        <f>'4.sz.m.ÖNK kiadás'!W12</f>
        <v>0</v>
      </c>
      <c r="W11" s="1312"/>
      <c r="X11" s="276">
        <v>0</v>
      </c>
      <c r="Y11" s="228"/>
      <c r="Z11" s="228"/>
      <c r="AA11" s="228"/>
      <c r="AB11" s="228"/>
      <c r="AC11" s="1312"/>
      <c r="AD11" s="650"/>
    </row>
    <row r="12" spans="1:30" s="4" customFormat="1" ht="57.75" customHeight="1">
      <c r="A12" s="43"/>
      <c r="B12" s="52"/>
      <c r="C12" s="52" t="s">
        <v>84</v>
      </c>
      <c r="D12" s="268" t="s">
        <v>277</v>
      </c>
      <c r="E12" s="276">
        <f>'4.sz.m.ÖNK kiadás'!E13</f>
        <v>11281925</v>
      </c>
      <c r="F12" s="276">
        <f>'4.sz.m.ÖNK kiadás'!F13</f>
        <v>10842376</v>
      </c>
      <c r="G12" s="276">
        <f>'4.sz.m.ÖNK kiadás'!G13</f>
        <v>10872376</v>
      </c>
      <c r="H12" s="276">
        <f>'4.sz.m.ÖNK kiadás'!H13</f>
        <v>9643450</v>
      </c>
      <c r="I12" s="276">
        <f>'4.sz.m.ÖNK kiadás'!I13</f>
        <v>9643450</v>
      </c>
      <c r="J12" s="1312">
        <f t="shared" si="2"/>
        <v>1</v>
      </c>
      <c r="K12" s="276">
        <f t="shared" si="3"/>
        <v>0</v>
      </c>
      <c r="L12" s="228">
        <f t="shared" si="3"/>
        <v>0</v>
      </c>
      <c r="M12" s="228">
        <f t="shared" si="3"/>
        <v>0</v>
      </c>
      <c r="N12" s="228">
        <f t="shared" si="3"/>
        <v>0</v>
      </c>
      <c r="O12" s="228">
        <f t="shared" si="3"/>
        <v>0</v>
      </c>
      <c r="P12" s="1312"/>
      <c r="Q12" s="616"/>
      <c r="R12" s="276">
        <f>'4.sz.m.ÖNK kiadás'!S13</f>
        <v>11281925</v>
      </c>
      <c r="S12" s="228">
        <f>'4.sz.m.ÖNK kiadás'!T13</f>
        <v>10842376</v>
      </c>
      <c r="T12" s="228">
        <f>'4.sz.m.ÖNK kiadás'!U13</f>
        <v>10872376</v>
      </c>
      <c r="U12" s="228">
        <f>'4.sz.m.ÖNK kiadás'!V13</f>
        <v>9643450</v>
      </c>
      <c r="V12" s="228">
        <f>'4.sz.m.ÖNK kiadás'!W13</f>
        <v>9643450</v>
      </c>
      <c r="W12" s="1312">
        <f t="shared" si="5"/>
        <v>1</v>
      </c>
      <c r="X12" s="276">
        <v>0</v>
      </c>
      <c r="Y12" s="228"/>
      <c r="Z12" s="228"/>
      <c r="AA12" s="228"/>
      <c r="AB12" s="228"/>
      <c r="AC12" s="1312"/>
      <c r="AD12" s="650"/>
    </row>
    <row r="13" spans="1:30" s="4" customFormat="1" ht="54.75" customHeight="1" thickBot="1">
      <c r="A13" s="70"/>
      <c r="B13" s="71"/>
      <c r="C13" s="52" t="s">
        <v>85</v>
      </c>
      <c r="D13" s="268" t="s">
        <v>278</v>
      </c>
      <c r="E13" s="276">
        <f>'4.sz.m.ÖNK kiadás'!E14</f>
        <v>148931177</v>
      </c>
      <c r="F13" s="276">
        <f>'4.sz.m.ÖNK kiadás'!F14</f>
        <v>148931177</v>
      </c>
      <c r="G13" s="276">
        <f>'4.sz.m.ÖNK kiadás'!G14</f>
        <v>146145737</v>
      </c>
      <c r="H13" s="276">
        <f>'4.sz.m.ÖNK kiadás'!H14</f>
        <v>138450427</v>
      </c>
      <c r="I13" s="276">
        <f>'4.sz.m.ÖNK kiadás'!I14</f>
        <v>138450427</v>
      </c>
      <c r="J13" s="1312">
        <f t="shared" si="2"/>
        <v>1</v>
      </c>
      <c r="K13" s="276">
        <f t="shared" si="3"/>
        <v>146860243</v>
      </c>
      <c r="L13" s="228">
        <f t="shared" si="3"/>
        <v>146860243</v>
      </c>
      <c r="M13" s="228">
        <f t="shared" si="3"/>
        <v>144074803</v>
      </c>
      <c r="N13" s="228">
        <f t="shared" si="3"/>
        <v>136592491</v>
      </c>
      <c r="O13" s="228">
        <f t="shared" si="3"/>
        <v>136592491</v>
      </c>
      <c r="P13" s="1312">
        <f t="shared" si="4"/>
        <v>1</v>
      </c>
      <c r="Q13" s="616" t="e">
        <f>#REF!/N13</f>
        <v>#REF!</v>
      </c>
      <c r="R13" s="276">
        <f>'4.sz.m.ÖNK kiadás'!S14</f>
        <v>2070934</v>
      </c>
      <c r="S13" s="228">
        <f>'4.sz.m.ÖNK kiadás'!T14</f>
        <v>2070934</v>
      </c>
      <c r="T13" s="228">
        <f>'4.sz.m.ÖNK kiadás'!U14</f>
        <v>2070934</v>
      </c>
      <c r="U13" s="228">
        <f>'4.sz.m.ÖNK kiadás'!V14</f>
        <v>1857936</v>
      </c>
      <c r="V13" s="228">
        <f>'4.sz.m.ÖNK kiadás'!W14</f>
        <v>1857936</v>
      </c>
      <c r="W13" s="1312">
        <f t="shared" si="5"/>
        <v>1</v>
      </c>
      <c r="X13" s="276">
        <v>0</v>
      </c>
      <c r="Y13" s="228"/>
      <c r="Z13" s="228"/>
      <c r="AA13" s="228"/>
      <c r="AB13" s="228"/>
      <c r="AC13" s="1312"/>
      <c r="AD13" s="650"/>
    </row>
    <row r="14" spans="1:30" s="4" customFormat="1" ht="33" customHeight="1" hidden="1">
      <c r="A14" s="43"/>
      <c r="B14" s="52"/>
      <c r="C14" s="52" t="s">
        <v>88</v>
      </c>
      <c r="D14" s="268" t="s">
        <v>90</v>
      </c>
      <c r="E14" s="276"/>
      <c r="F14" s="276"/>
      <c r="G14" s="276"/>
      <c r="H14" s="276"/>
      <c r="I14" s="276"/>
      <c r="J14" s="1312" t="e">
        <f t="shared" si="2"/>
        <v>#DIV/0!</v>
      </c>
      <c r="K14" s="276"/>
      <c r="L14" s="228"/>
      <c r="M14" s="228"/>
      <c r="N14" s="228"/>
      <c r="O14" s="228"/>
      <c r="P14" s="1312" t="e">
        <f t="shared" si="4"/>
        <v>#DIV/0!</v>
      </c>
      <c r="Q14" s="616" t="e">
        <f>#REF!/N14</f>
        <v>#REF!</v>
      </c>
      <c r="R14" s="276">
        <f>'4.sz.m.ÖNK kiadás'!S15</f>
        <v>0</v>
      </c>
      <c r="S14" s="228">
        <f>'4.sz.m.ÖNK kiadás'!T15</f>
        <v>0</v>
      </c>
      <c r="T14" s="228">
        <f>'4.sz.m.ÖNK kiadás'!U15</f>
        <v>0</v>
      </c>
      <c r="U14" s="228">
        <f>'4.sz.m.ÖNK kiadás'!V15</f>
        <v>0</v>
      </c>
      <c r="V14" s="228">
        <f>'4.sz.m.ÖNK kiadás'!W15</f>
        <v>0</v>
      </c>
      <c r="W14" s="1312" t="e">
        <f t="shared" si="5"/>
        <v>#DIV/0!</v>
      </c>
      <c r="X14" s="276"/>
      <c r="Y14" s="228"/>
      <c r="Z14" s="228"/>
      <c r="AA14" s="228"/>
      <c r="AB14" s="228"/>
      <c r="AC14" s="1312"/>
      <c r="AD14" s="650"/>
    </row>
    <row r="15" spans="1:30" s="4" customFormat="1" ht="33" customHeight="1" hidden="1" thickBot="1">
      <c r="A15" s="75"/>
      <c r="B15" s="66"/>
      <c r="C15" s="66" t="s">
        <v>89</v>
      </c>
      <c r="D15" s="270" t="s">
        <v>91</v>
      </c>
      <c r="E15" s="276"/>
      <c r="F15" s="276"/>
      <c r="G15" s="276"/>
      <c r="H15" s="276"/>
      <c r="I15" s="276"/>
      <c r="J15" s="1312" t="e">
        <f t="shared" si="2"/>
        <v>#DIV/0!</v>
      </c>
      <c r="K15" s="276"/>
      <c r="L15" s="228"/>
      <c r="M15" s="228"/>
      <c r="N15" s="228"/>
      <c r="O15" s="228"/>
      <c r="P15" s="1312" t="e">
        <f t="shared" si="4"/>
        <v>#DIV/0!</v>
      </c>
      <c r="Q15" s="616" t="e">
        <f>#REF!/N15</f>
        <v>#REF!</v>
      </c>
      <c r="R15" s="276">
        <f>'4.sz.m.ÖNK kiadás'!S16</f>
        <v>0</v>
      </c>
      <c r="S15" s="228">
        <f>'4.sz.m.ÖNK kiadás'!T16</f>
        <v>0</v>
      </c>
      <c r="T15" s="228">
        <f>'4.sz.m.ÖNK kiadás'!U16</f>
        <v>0</v>
      </c>
      <c r="U15" s="228">
        <f>'4.sz.m.ÖNK kiadás'!V16</f>
        <v>0</v>
      </c>
      <c r="V15" s="228">
        <f>'4.sz.m.ÖNK kiadás'!W16</f>
        <v>0</v>
      </c>
      <c r="W15" s="1312" t="e">
        <f t="shared" si="5"/>
        <v>#DIV/0!</v>
      </c>
      <c r="X15" s="276"/>
      <c r="Y15" s="228"/>
      <c r="Z15" s="228"/>
      <c r="AA15" s="228"/>
      <c r="AB15" s="228"/>
      <c r="AC15" s="1312"/>
      <c r="AD15" s="650"/>
    </row>
    <row r="16" spans="1:30" s="4" customFormat="1" ht="33" customHeight="1" thickBot="1">
      <c r="A16" s="61" t="s">
        <v>28</v>
      </c>
      <c r="B16" s="1390" t="s">
        <v>92</v>
      </c>
      <c r="C16" s="1390"/>
      <c r="D16" s="1390"/>
      <c r="E16" s="275">
        <f>SUM(E17:E19)</f>
        <v>343158795</v>
      </c>
      <c r="F16" s="275">
        <f>SUM(F17:F19)</f>
        <v>397027211</v>
      </c>
      <c r="G16" s="275">
        <f>SUM(G17:G19)</f>
        <v>408984020</v>
      </c>
      <c r="H16" s="275">
        <f>SUM(H17:H19)</f>
        <v>406962374</v>
      </c>
      <c r="I16" s="275">
        <f>SUM(I17:I19)</f>
        <v>319783676</v>
      </c>
      <c r="J16" s="955">
        <f t="shared" si="2"/>
        <v>0.785781920959602</v>
      </c>
      <c r="K16" s="275">
        <f>SUM(K17:K19)</f>
        <v>331463247</v>
      </c>
      <c r="L16" s="35">
        <f>SUM(L17:L19)</f>
        <v>383331663</v>
      </c>
      <c r="M16" s="35">
        <f>SUM(M17:M19)</f>
        <v>394652085</v>
      </c>
      <c r="N16" s="35">
        <f>SUM(N17:N19)</f>
        <v>388337307</v>
      </c>
      <c r="O16" s="35">
        <f>SUM(O17:O19)</f>
        <v>311430733</v>
      </c>
      <c r="P16" s="955">
        <f t="shared" si="4"/>
        <v>0.8019593466460332</v>
      </c>
      <c r="Q16" s="611" t="e">
        <f>#REF!/N16</f>
        <v>#REF!</v>
      </c>
      <c r="R16" s="275">
        <f>SUM(R17:R19)</f>
        <v>11695548</v>
      </c>
      <c r="S16" s="35">
        <f>SUM(S17:S19)</f>
        <v>13695548</v>
      </c>
      <c r="T16" s="35">
        <f>SUM(T17:T19)</f>
        <v>14331935</v>
      </c>
      <c r="U16" s="35">
        <f>SUM(U17:U19)</f>
        <v>18625067</v>
      </c>
      <c r="V16" s="35">
        <f>SUM(V17:V19)</f>
        <v>8352943</v>
      </c>
      <c r="W16" s="955">
        <f t="shared" si="5"/>
        <v>0.4484785477550228</v>
      </c>
      <c r="X16" s="275">
        <f aca="true" t="shared" si="6" ref="X16:AD16">SUM(X17:X19)</f>
        <v>0</v>
      </c>
      <c r="Y16" s="35">
        <f t="shared" si="6"/>
        <v>0</v>
      </c>
      <c r="Z16" s="35">
        <f t="shared" si="6"/>
        <v>0</v>
      </c>
      <c r="AA16" s="35">
        <f t="shared" si="6"/>
        <v>0</v>
      </c>
      <c r="AB16" s="35">
        <f>SUM(AB17:AB19)</f>
        <v>0</v>
      </c>
      <c r="AC16" s="955"/>
      <c r="AD16" s="649">
        <f t="shared" si="6"/>
        <v>0</v>
      </c>
    </row>
    <row r="17" spans="1:30" s="4" customFormat="1" ht="33" customHeight="1">
      <c r="A17" s="60"/>
      <c r="B17" s="65" t="s">
        <v>39</v>
      </c>
      <c r="C17" s="1397" t="s">
        <v>93</v>
      </c>
      <c r="D17" s="1397"/>
      <c r="E17" s="276">
        <f>'4.sz.m.ÖNK kiadás'!E18+'5.1 sz. m Köz Hiv'!D41+'5.2 sz. m ÁMK'!D44+'üres lap'!D33</f>
        <v>99350473</v>
      </c>
      <c r="F17" s="276">
        <f>'4.sz.m.ÖNK kiadás'!F18+'5.1 sz. m Köz Hiv'!E41+'5.2 sz. m ÁMK'!E44+'üres lap'!E33</f>
        <v>123934285</v>
      </c>
      <c r="G17" s="276">
        <f>'4.sz.m.ÖNK kiadás'!G18+'5.1 sz. m Köz Hiv'!F41+'5.2 sz. m ÁMK'!F44+'üres lap'!F33</f>
        <v>125624324</v>
      </c>
      <c r="H17" s="276">
        <f>'4.sz.m.ÖNK kiadás'!H18+'5.1 sz. m Köz Hiv'!G41+'5.2 sz. m ÁMK'!G44+'üres lap'!G33</f>
        <v>110604558</v>
      </c>
      <c r="I17" s="276">
        <f>'4.sz.m.ÖNK kiadás'!I18+'5.1 sz. m Köz Hiv'!H41+'5.2 sz. m ÁMK'!H44+'üres lap'!H33</f>
        <v>93013374</v>
      </c>
      <c r="J17" s="1312">
        <f t="shared" si="2"/>
        <v>0.8409542579610507</v>
      </c>
      <c r="K17" s="276">
        <f>'4.sz.m.ÖNK kiadás'!L18+'5.1 sz. m Köz Hiv'!L41+'5.2 sz. m ÁMK'!L44</f>
        <v>95154925</v>
      </c>
      <c r="L17" s="228">
        <f>'4.sz.m.ÖNK kiadás'!M18+'5.1 sz. m Köz Hiv'!M41+'5.2 sz. m ÁMK'!M44</f>
        <v>119738737</v>
      </c>
      <c r="M17" s="228">
        <f>'4.sz.m.ÖNK kiadás'!N18+'5.1 sz. m Köz Hiv'!N41+'5.2 sz. m ÁMK'!N44</f>
        <v>121428776</v>
      </c>
      <c r="N17" s="228">
        <f>'4.sz.m.ÖNK kiadás'!O18+'5.1 sz. m Köz Hiv'!O41+'5.2 sz. m ÁMK'!O44+'üres lap'!M33</f>
        <v>106409010</v>
      </c>
      <c r="O17" s="228">
        <f>'4.sz.m.ÖNK kiadás'!P18+'5.1 sz. m Köz Hiv'!P41+'5.2 sz. m ÁMK'!P44+'üres lap'!N33</f>
        <v>92046818</v>
      </c>
      <c r="P17" s="1312">
        <f t="shared" si="4"/>
        <v>0.8650284219353229</v>
      </c>
      <c r="Q17" s="616" t="e">
        <f>#REF!/N17</f>
        <v>#REF!</v>
      </c>
      <c r="R17" s="276">
        <f>'4.sz.m.ÖNK kiadás'!S18</f>
        <v>4195548</v>
      </c>
      <c r="S17" s="228">
        <f>'4.sz.m.ÖNK kiadás'!T18</f>
        <v>4195548</v>
      </c>
      <c r="T17" s="228">
        <f>'4.sz.m.ÖNK kiadás'!U18</f>
        <v>4195548</v>
      </c>
      <c r="U17" s="228">
        <f>'4.sz.m.ÖNK kiadás'!V18</f>
        <v>4195548</v>
      </c>
      <c r="V17" s="228">
        <f>'4.sz.m.ÖNK kiadás'!W18</f>
        <v>966556</v>
      </c>
      <c r="W17" s="1312">
        <f t="shared" si="5"/>
        <v>0.2303765801273159</v>
      </c>
      <c r="X17" s="276">
        <v>0</v>
      </c>
      <c r="Y17" s="228"/>
      <c r="Z17" s="228"/>
      <c r="AA17" s="228"/>
      <c r="AB17" s="228"/>
      <c r="AC17" s="1312"/>
      <c r="AD17" s="650"/>
    </row>
    <row r="18" spans="1:30" s="4" customFormat="1" ht="33" customHeight="1">
      <c r="A18" s="43"/>
      <c r="B18" s="52" t="s">
        <v>40</v>
      </c>
      <c r="C18" s="1388" t="s">
        <v>94</v>
      </c>
      <c r="D18" s="1388"/>
      <c r="E18" s="276">
        <f>'4.sz.m.ÖNK kiadás'!E19</f>
        <v>236308322</v>
      </c>
      <c r="F18" s="276">
        <f>'4.sz.m.ÖNK kiadás'!F19</f>
        <v>263592926</v>
      </c>
      <c r="G18" s="276">
        <f>'4.sz.m.ÖNK kiadás'!G19</f>
        <v>273223309</v>
      </c>
      <c r="H18" s="276">
        <f>'4.sz.m.ÖNK kiadás'!H19</f>
        <v>286221429</v>
      </c>
      <c r="I18" s="276">
        <f>'4.sz.m.ÖNK kiadás'!I19</f>
        <v>219383915</v>
      </c>
      <c r="J18" s="1312">
        <f t="shared" si="2"/>
        <v>0.7664831936814905</v>
      </c>
      <c r="K18" s="276">
        <f>'4.sz.m.ÖNK kiadás'!L19+'5.1 sz. m Köz Hiv'!L42+'5.2 sz. m ÁMK'!L45</f>
        <v>236308322</v>
      </c>
      <c r="L18" s="228">
        <f>'4.sz.m.ÖNK kiadás'!M19+'5.1 sz. m Köz Hiv'!M42+'5.2 sz. m ÁMK'!M45</f>
        <v>263592926</v>
      </c>
      <c r="M18" s="228">
        <f>'4.sz.m.ÖNK kiadás'!N19+'5.1 sz. m Köz Hiv'!N42+'5.2 sz. m ÁMK'!N45</f>
        <v>273223309</v>
      </c>
      <c r="N18" s="228">
        <f>'4.sz.m.ÖNK kiadás'!O19+'5.2 sz. m ÁMK'!O46</f>
        <v>281928297</v>
      </c>
      <c r="O18" s="228">
        <f>'4.sz.m.ÖNK kiadás'!P19+'5.2 sz. m ÁMK'!P46</f>
        <v>219383915</v>
      </c>
      <c r="P18" s="1312">
        <f t="shared" si="4"/>
        <v>0.7781550037171331</v>
      </c>
      <c r="Q18" s="616" t="e">
        <f>#REF!/N18</f>
        <v>#REF!</v>
      </c>
      <c r="R18" s="276">
        <f>'4.sz.m.ÖNK kiadás'!S19</f>
        <v>0</v>
      </c>
      <c r="S18" s="228">
        <f>'4.sz.m.ÖNK kiadás'!T19</f>
        <v>0</v>
      </c>
      <c r="T18" s="228">
        <f>'4.sz.m.ÖNK kiadás'!U19</f>
        <v>0</v>
      </c>
      <c r="U18" s="228">
        <f>'4.sz.m.ÖNK kiadás'!V19</f>
        <v>4293132</v>
      </c>
      <c r="V18" s="228">
        <f>'4.sz.m.ÖNK kiadás'!W19</f>
        <v>0</v>
      </c>
      <c r="W18" s="1312">
        <f t="shared" si="5"/>
        <v>0</v>
      </c>
      <c r="X18" s="276">
        <v>0</v>
      </c>
      <c r="Y18" s="228"/>
      <c r="Z18" s="228"/>
      <c r="AA18" s="228"/>
      <c r="AB18" s="228"/>
      <c r="AC18" s="1312"/>
      <c r="AD18" s="650"/>
    </row>
    <row r="19" spans="1:30" s="4" customFormat="1" ht="33" customHeight="1">
      <c r="A19" s="72"/>
      <c r="B19" s="52" t="s">
        <v>41</v>
      </c>
      <c r="C19" s="1360" t="s">
        <v>95</v>
      </c>
      <c r="D19" s="1360"/>
      <c r="E19" s="276">
        <f>'4.sz.m.ÖNK kiadás'!E20</f>
        <v>7500000</v>
      </c>
      <c r="F19" s="276">
        <f>'4.sz.m.ÖNK kiadás'!F20</f>
        <v>9500000</v>
      </c>
      <c r="G19" s="276">
        <f>'4.sz.m.ÖNK kiadás'!G20</f>
        <v>10136387</v>
      </c>
      <c r="H19" s="276">
        <f>'4.sz.m.ÖNK kiadás'!H20</f>
        <v>10136387</v>
      </c>
      <c r="I19" s="276">
        <f>'4.sz.m.ÖNK kiadás'!I20</f>
        <v>7386387</v>
      </c>
      <c r="J19" s="1312">
        <f t="shared" si="2"/>
        <v>0.7287001768973501</v>
      </c>
      <c r="K19" s="276">
        <f>'4.sz.m.ÖNK kiadás'!L20</f>
        <v>0</v>
      </c>
      <c r="L19" s="228">
        <f>'4.sz.m.ÖNK kiadás'!M20</f>
        <v>0</v>
      </c>
      <c r="M19" s="228">
        <f>'4.sz.m.ÖNK kiadás'!N20</f>
        <v>0</v>
      </c>
      <c r="N19" s="228">
        <f>'4.sz.m.ÖNK kiadás'!O20</f>
        <v>0</v>
      </c>
      <c r="O19" s="228">
        <f>'4.sz.m.ÖNK kiadás'!P20</f>
        <v>0</v>
      </c>
      <c r="P19" s="1312"/>
      <c r="Q19" s="616"/>
      <c r="R19" s="276">
        <f>'4.sz.m.ÖNK kiadás'!S20</f>
        <v>7500000</v>
      </c>
      <c r="S19" s="228">
        <f>'4.sz.m.ÖNK kiadás'!T20</f>
        <v>9500000</v>
      </c>
      <c r="T19" s="228">
        <f>'4.sz.m.ÖNK kiadás'!U20</f>
        <v>10136387</v>
      </c>
      <c r="U19" s="228">
        <f>'4.sz.m.ÖNK kiadás'!V20</f>
        <v>10136387</v>
      </c>
      <c r="V19" s="228">
        <f>'4.sz.m.ÖNK kiadás'!W20</f>
        <v>7386387</v>
      </c>
      <c r="W19" s="1312">
        <f t="shared" si="5"/>
        <v>0.7287001768973501</v>
      </c>
      <c r="X19" s="276">
        <v>0</v>
      </c>
      <c r="Y19" s="228"/>
      <c r="Z19" s="228"/>
      <c r="AA19" s="228"/>
      <c r="AB19" s="228"/>
      <c r="AC19" s="1312"/>
      <c r="AD19" s="650"/>
    </row>
    <row r="20" spans="1:30" s="4" customFormat="1" ht="33" customHeight="1">
      <c r="A20" s="49"/>
      <c r="B20" s="53"/>
      <c r="C20" s="53" t="s">
        <v>96</v>
      </c>
      <c r="D20" s="188" t="s">
        <v>86</v>
      </c>
      <c r="E20" s="276">
        <f>'4.sz.m.ÖNK kiadás'!E21</f>
        <v>7500000</v>
      </c>
      <c r="F20" s="276">
        <f>'4.sz.m.ÖNK kiadás'!F21</f>
        <v>9500000</v>
      </c>
      <c r="G20" s="276">
        <f>'4.sz.m.ÖNK kiadás'!G21</f>
        <v>10136387</v>
      </c>
      <c r="H20" s="276">
        <f>'4.sz.m.ÖNK kiadás'!H21</f>
        <v>10136387</v>
      </c>
      <c r="I20" s="276">
        <f>'4.sz.m.ÖNK kiadás'!I21</f>
        <v>7386387</v>
      </c>
      <c r="J20" s="1312">
        <f t="shared" si="2"/>
        <v>0.7287001768973501</v>
      </c>
      <c r="K20" s="276">
        <f>'4.sz.m.ÖNK kiadás'!L21</f>
        <v>0</v>
      </c>
      <c r="L20" s="228">
        <f>'4.sz.m.ÖNK kiadás'!M21</f>
        <v>0</v>
      </c>
      <c r="M20" s="228">
        <f>'4.sz.m.ÖNK kiadás'!N21</f>
        <v>0</v>
      </c>
      <c r="N20" s="228">
        <f>'4.sz.m.ÖNK kiadás'!O21</f>
        <v>0</v>
      </c>
      <c r="O20" s="228">
        <f>'4.sz.m.ÖNK kiadás'!P21</f>
        <v>0</v>
      </c>
      <c r="P20" s="1312"/>
      <c r="Q20" s="616"/>
      <c r="R20" s="276">
        <f>'4.sz.m.ÖNK kiadás'!S21</f>
        <v>7500000</v>
      </c>
      <c r="S20" s="228">
        <f>'4.sz.m.ÖNK kiadás'!T21</f>
        <v>9500000</v>
      </c>
      <c r="T20" s="228">
        <f>'4.sz.m.ÖNK kiadás'!U21</f>
        <v>10136387</v>
      </c>
      <c r="U20" s="228">
        <f>'4.sz.m.ÖNK kiadás'!V21</f>
        <v>10136387</v>
      </c>
      <c r="V20" s="228">
        <f>'4.sz.m.ÖNK kiadás'!W21</f>
        <v>7386387</v>
      </c>
      <c r="W20" s="1312">
        <f t="shared" si="5"/>
        <v>0.7287001768973501</v>
      </c>
      <c r="X20" s="276">
        <v>0</v>
      </c>
      <c r="Y20" s="228"/>
      <c r="Z20" s="228"/>
      <c r="AA20" s="228"/>
      <c r="AB20" s="228"/>
      <c r="AC20" s="1312"/>
      <c r="AD20" s="650"/>
    </row>
    <row r="21" spans="1:30" s="4" customFormat="1" ht="33" customHeight="1">
      <c r="A21" s="49"/>
      <c r="B21" s="53"/>
      <c r="C21" s="53" t="s">
        <v>97</v>
      </c>
      <c r="D21" s="188" t="s">
        <v>87</v>
      </c>
      <c r="E21" s="276">
        <f>'4.sz.m.ÖNK kiadás'!E22</f>
        <v>0</v>
      </c>
      <c r="F21" s="276">
        <f>'4.sz.m.ÖNK kiadás'!F22</f>
        <v>0</v>
      </c>
      <c r="G21" s="276">
        <f>'4.sz.m.ÖNK kiadás'!G22</f>
        <v>0</v>
      </c>
      <c r="H21" s="276">
        <f>'4.sz.m.ÖNK kiadás'!H22</f>
        <v>0</v>
      </c>
      <c r="I21" s="276">
        <f>'4.sz.m.ÖNK kiadás'!I22</f>
        <v>0</v>
      </c>
      <c r="J21" s="1312"/>
      <c r="K21" s="276">
        <f>'4.sz.m.ÖNK kiadás'!L22</f>
        <v>0</v>
      </c>
      <c r="L21" s="228">
        <f>'4.sz.m.ÖNK kiadás'!M22</f>
        <v>0</v>
      </c>
      <c r="M21" s="228">
        <f>'4.sz.m.ÖNK kiadás'!N22</f>
        <v>0</v>
      </c>
      <c r="N21" s="228">
        <f>'4.sz.m.ÖNK kiadás'!O22</f>
        <v>0</v>
      </c>
      <c r="O21" s="228">
        <f>'4.sz.m.ÖNK kiadás'!P22</f>
        <v>0</v>
      </c>
      <c r="P21" s="1312"/>
      <c r="Q21" s="616"/>
      <c r="R21" s="276">
        <v>0</v>
      </c>
      <c r="S21" s="228"/>
      <c r="T21" s="228"/>
      <c r="U21" s="228"/>
      <c r="V21" s="228"/>
      <c r="W21" s="1312"/>
      <c r="X21" s="276">
        <v>0</v>
      </c>
      <c r="Y21" s="228"/>
      <c r="Z21" s="228"/>
      <c r="AA21" s="228"/>
      <c r="AB21" s="228"/>
      <c r="AC21" s="1312"/>
      <c r="AD21" s="650"/>
    </row>
    <row r="22" spans="1:30" s="4" customFormat="1" ht="33" customHeight="1">
      <c r="A22" s="72"/>
      <c r="B22" s="188"/>
      <c r="C22" s="53" t="s">
        <v>98</v>
      </c>
      <c r="D22" s="188" t="s">
        <v>472</v>
      </c>
      <c r="E22" s="276">
        <f>'4.sz.m.ÖNK kiadás'!E23</f>
        <v>0</v>
      </c>
      <c r="F22" s="276">
        <f>'4.sz.m.ÖNK kiadás'!F23</f>
        <v>0</v>
      </c>
      <c r="G22" s="276">
        <f>'4.sz.m.ÖNK kiadás'!G23</f>
        <v>0</v>
      </c>
      <c r="H22" s="276">
        <f>'4.sz.m.ÖNK kiadás'!H23</f>
        <v>0</v>
      </c>
      <c r="I22" s="276">
        <f>'4.sz.m.ÖNK kiadás'!I23</f>
        <v>0</v>
      </c>
      <c r="J22" s="1312"/>
      <c r="K22" s="276">
        <f>'4.sz.m.ÖNK kiadás'!L23</f>
        <v>0</v>
      </c>
      <c r="L22" s="228">
        <f>'4.sz.m.ÖNK kiadás'!M23</f>
        <v>0</v>
      </c>
      <c r="M22" s="228">
        <f>'4.sz.m.ÖNK kiadás'!N23</f>
        <v>0</v>
      </c>
      <c r="N22" s="228">
        <f>'4.sz.m.ÖNK kiadás'!O23</f>
        <v>0</v>
      </c>
      <c r="O22" s="228">
        <f>'4.sz.m.ÖNK kiadás'!P23</f>
        <v>0</v>
      </c>
      <c r="P22" s="1312"/>
      <c r="Q22" s="616"/>
      <c r="R22" s="276">
        <v>0</v>
      </c>
      <c r="S22" s="228"/>
      <c r="T22" s="228"/>
      <c r="U22" s="228">
        <f>'4.sz.m.ÖNK kiadás'!V23</f>
        <v>0</v>
      </c>
      <c r="V22" s="228">
        <f>'4.sz.m.ÖNK kiadás'!W23</f>
        <v>0</v>
      </c>
      <c r="W22" s="1312"/>
      <c r="X22" s="276">
        <v>0</v>
      </c>
      <c r="Y22" s="228"/>
      <c r="Z22" s="228"/>
      <c r="AA22" s="228"/>
      <c r="AB22" s="228"/>
      <c r="AC22" s="1312"/>
      <c r="AD22" s="650"/>
    </row>
    <row r="23" spans="1:30" s="4" customFormat="1" ht="33" customHeight="1" thickBot="1">
      <c r="A23" s="210"/>
      <c r="B23" s="211"/>
      <c r="C23" s="212" t="s">
        <v>208</v>
      </c>
      <c r="D23" s="211" t="s">
        <v>209</v>
      </c>
      <c r="E23" s="276">
        <f>'4.sz.m.ÖNK kiadás'!E24</f>
        <v>0</v>
      </c>
      <c r="F23" s="276">
        <f>'4.sz.m.ÖNK kiadás'!F24</f>
        <v>0</v>
      </c>
      <c r="G23" s="276">
        <f>'4.sz.m.ÖNK kiadás'!G24</f>
        <v>0</v>
      </c>
      <c r="H23" s="276">
        <f>'4.sz.m.ÖNK kiadás'!H24</f>
        <v>0</v>
      </c>
      <c r="I23" s="276">
        <f>'4.sz.m.ÖNK kiadás'!I24</f>
        <v>0</v>
      </c>
      <c r="J23" s="1312"/>
      <c r="K23" s="276">
        <f>'4.sz.m.ÖNK kiadás'!L24</f>
        <v>0</v>
      </c>
      <c r="L23" s="228">
        <f>'4.sz.m.ÖNK kiadás'!M24</f>
        <v>0</v>
      </c>
      <c r="M23" s="228">
        <f>'4.sz.m.ÖNK kiadás'!N24</f>
        <v>0</v>
      </c>
      <c r="N23" s="228">
        <f>'4.sz.m.ÖNK kiadás'!O24</f>
        <v>0</v>
      </c>
      <c r="O23" s="228">
        <f>'4.sz.m.ÖNK kiadás'!P24</f>
        <v>0</v>
      </c>
      <c r="P23" s="1312"/>
      <c r="Q23" s="616"/>
      <c r="R23" s="276">
        <v>0</v>
      </c>
      <c r="S23" s="228"/>
      <c r="T23" s="228"/>
      <c r="U23" s="228"/>
      <c r="V23" s="228"/>
      <c r="W23" s="1312"/>
      <c r="X23" s="276">
        <v>0</v>
      </c>
      <c r="Y23" s="228"/>
      <c r="Z23" s="228"/>
      <c r="AA23" s="228"/>
      <c r="AB23" s="228"/>
      <c r="AC23" s="1312"/>
      <c r="AD23" s="650"/>
    </row>
    <row r="24" spans="1:30" s="4" customFormat="1" ht="33" customHeight="1" thickBot="1">
      <c r="A24" s="61" t="s">
        <v>10</v>
      </c>
      <c r="B24" s="1390" t="s">
        <v>99</v>
      </c>
      <c r="C24" s="1390"/>
      <c r="D24" s="1390"/>
      <c r="E24" s="275">
        <f>SUM(E25:E27)</f>
        <v>41388231</v>
      </c>
      <c r="F24" s="275">
        <f>SUM(F25:F27)</f>
        <v>17607622</v>
      </c>
      <c r="G24" s="275">
        <f>SUM(G25:G27)</f>
        <v>4977707</v>
      </c>
      <c r="H24" s="275">
        <f>SUM(H25:H27)</f>
        <v>0</v>
      </c>
      <c r="I24" s="275">
        <f>SUM(I25:I27)</f>
        <v>0</v>
      </c>
      <c r="J24" s="955"/>
      <c r="K24" s="275">
        <f>SUM(K25:K27)</f>
        <v>41388231</v>
      </c>
      <c r="L24" s="35">
        <f>SUM(L25:L27)</f>
        <v>17607622</v>
      </c>
      <c r="M24" s="35">
        <f>SUM(M25:M27)</f>
        <v>4977707</v>
      </c>
      <c r="N24" s="35">
        <f>SUM(N25:N27)</f>
        <v>0</v>
      </c>
      <c r="O24" s="35">
        <f>SUM(O25:O27)</f>
        <v>0</v>
      </c>
      <c r="P24" s="955"/>
      <c r="Q24" s="611" t="e">
        <f>#REF!/N24</f>
        <v>#REF!</v>
      </c>
      <c r="R24" s="275">
        <f aca="true" t="shared" si="7" ref="R24:Z24">SUM(R25:R27)</f>
        <v>0</v>
      </c>
      <c r="S24" s="35">
        <f>SUM(S25:S27)</f>
        <v>0</v>
      </c>
      <c r="T24" s="35">
        <f>SUM(T25:T27)</f>
        <v>0</v>
      </c>
      <c r="U24" s="35">
        <f>SUM(U25:U27)</f>
        <v>0</v>
      </c>
      <c r="V24" s="35">
        <f>SUM(V25:V27)</f>
        <v>0</v>
      </c>
      <c r="W24" s="955"/>
      <c r="X24" s="275">
        <f t="shared" si="7"/>
        <v>0</v>
      </c>
      <c r="Y24" s="35">
        <f t="shared" si="7"/>
        <v>0</v>
      </c>
      <c r="Z24" s="35">
        <f t="shared" si="7"/>
        <v>0</v>
      </c>
      <c r="AA24" s="35">
        <f>SUM(AA25:AA27)</f>
        <v>0</v>
      </c>
      <c r="AB24" s="35">
        <f>SUM(AB25:AB27)</f>
        <v>0</v>
      </c>
      <c r="AC24" s="955"/>
      <c r="AD24" s="649">
        <f>SUM(AD25:AD27)</f>
        <v>0</v>
      </c>
    </row>
    <row r="25" spans="1:30" s="4" customFormat="1" ht="33" customHeight="1">
      <c r="A25" s="60"/>
      <c r="B25" s="65" t="s">
        <v>42</v>
      </c>
      <c r="C25" s="1397" t="s">
        <v>3</v>
      </c>
      <c r="D25" s="1397"/>
      <c r="E25" s="276">
        <f>'4.sz.m.ÖNK kiadás'!E26</f>
        <v>41388231</v>
      </c>
      <c r="F25" s="276">
        <f>'4.sz.m.ÖNK kiadás'!F26</f>
        <v>17607622</v>
      </c>
      <c r="G25" s="276">
        <f>'4.sz.m.ÖNK kiadás'!G26</f>
        <v>4977707</v>
      </c>
      <c r="H25" s="276">
        <f>'4.sz.m.ÖNK kiadás'!H26</f>
        <v>0</v>
      </c>
      <c r="I25" s="276">
        <f>'4.sz.m.ÖNK kiadás'!I26</f>
        <v>0</v>
      </c>
      <c r="J25" s="1312"/>
      <c r="K25" s="276">
        <f>'4.sz.m.ÖNK kiadás'!L26</f>
        <v>41388231</v>
      </c>
      <c r="L25" s="228">
        <f>'4.sz.m.ÖNK kiadás'!M26</f>
        <v>17607622</v>
      </c>
      <c r="M25" s="228">
        <f>'4.sz.m.ÖNK kiadás'!N26</f>
        <v>4977707</v>
      </c>
      <c r="N25" s="228">
        <f>'4.sz.m.ÖNK kiadás'!O26</f>
        <v>0</v>
      </c>
      <c r="O25" s="228">
        <f>'4.sz.m.ÖNK kiadás'!P26</f>
        <v>0</v>
      </c>
      <c r="P25" s="1312"/>
      <c r="Q25" s="228">
        <f>'4.sz.m.ÖNK kiadás'!R26</f>
        <v>0</v>
      </c>
      <c r="R25" s="276">
        <v>0</v>
      </c>
      <c r="S25" s="228"/>
      <c r="T25" s="228"/>
      <c r="U25" s="228"/>
      <c r="V25" s="228"/>
      <c r="W25" s="1312"/>
      <c r="X25" s="276">
        <v>0</v>
      </c>
      <c r="Y25" s="228"/>
      <c r="Z25" s="228"/>
      <c r="AA25" s="228"/>
      <c r="AB25" s="228"/>
      <c r="AC25" s="1312"/>
      <c r="AD25" s="650"/>
    </row>
    <row r="26" spans="1:30" s="7" customFormat="1" ht="33" customHeight="1">
      <c r="A26" s="70"/>
      <c r="B26" s="52" t="s">
        <v>43</v>
      </c>
      <c r="C26" s="1406" t="s">
        <v>279</v>
      </c>
      <c r="D26" s="1406"/>
      <c r="E26" s="276">
        <v>0</v>
      </c>
      <c r="F26" s="276">
        <v>0</v>
      </c>
      <c r="G26" s="276">
        <v>0</v>
      </c>
      <c r="H26" s="276">
        <v>0</v>
      </c>
      <c r="I26" s="276">
        <v>0</v>
      </c>
      <c r="J26" s="1312"/>
      <c r="K26" s="276">
        <v>0</v>
      </c>
      <c r="L26" s="228"/>
      <c r="M26" s="228"/>
      <c r="N26" s="228"/>
      <c r="O26" s="228"/>
      <c r="P26" s="1312"/>
      <c r="Q26" s="616"/>
      <c r="R26" s="276">
        <v>0</v>
      </c>
      <c r="S26" s="228"/>
      <c r="T26" s="228"/>
      <c r="U26" s="228"/>
      <c r="V26" s="228"/>
      <c r="W26" s="1312"/>
      <c r="X26" s="276">
        <v>0</v>
      </c>
      <c r="Y26" s="228"/>
      <c r="Z26" s="228"/>
      <c r="AA26" s="228"/>
      <c r="AB26" s="228"/>
      <c r="AC26" s="1312"/>
      <c r="AD26" s="650"/>
    </row>
    <row r="27" spans="1:30" s="7" customFormat="1" ht="33" customHeight="1" thickBot="1">
      <c r="A27" s="76"/>
      <c r="B27" s="66" t="s">
        <v>67</v>
      </c>
      <c r="C27" s="77" t="s">
        <v>100</v>
      </c>
      <c r="D27" s="77"/>
      <c r="E27" s="276">
        <v>0</v>
      </c>
      <c r="F27" s="276">
        <v>0</v>
      </c>
      <c r="G27" s="276">
        <v>0</v>
      </c>
      <c r="H27" s="276">
        <v>0</v>
      </c>
      <c r="I27" s="276">
        <v>0</v>
      </c>
      <c r="J27" s="1312"/>
      <c r="K27" s="276">
        <v>0</v>
      </c>
      <c r="L27" s="228"/>
      <c r="M27" s="228"/>
      <c r="N27" s="228"/>
      <c r="O27" s="228"/>
      <c r="P27" s="1312"/>
      <c r="Q27" s="616"/>
      <c r="R27" s="276">
        <v>0</v>
      </c>
      <c r="S27" s="228"/>
      <c r="T27" s="228"/>
      <c r="U27" s="228"/>
      <c r="V27" s="228"/>
      <c r="W27" s="1312"/>
      <c r="X27" s="276">
        <v>0</v>
      </c>
      <c r="Y27" s="228"/>
      <c r="Z27" s="228"/>
      <c r="AA27" s="228"/>
      <c r="AB27" s="228"/>
      <c r="AC27" s="1312"/>
      <c r="AD27" s="650"/>
    </row>
    <row r="28" spans="1:30" s="7" customFormat="1" ht="33" customHeight="1" thickBot="1">
      <c r="A28" s="40" t="s">
        <v>11</v>
      </c>
      <c r="B28" s="67" t="s">
        <v>101</v>
      </c>
      <c r="C28" s="67"/>
      <c r="D28" s="67"/>
      <c r="E28" s="277">
        <v>0</v>
      </c>
      <c r="F28" s="277">
        <v>0</v>
      </c>
      <c r="G28" s="277">
        <v>0</v>
      </c>
      <c r="H28" s="277">
        <v>0</v>
      </c>
      <c r="I28" s="277">
        <v>0</v>
      </c>
      <c r="J28" s="1314"/>
      <c r="K28" s="277">
        <v>0</v>
      </c>
      <c r="L28" s="278">
        <v>0</v>
      </c>
      <c r="M28" s="278">
        <v>0</v>
      </c>
      <c r="N28" s="278">
        <v>0</v>
      </c>
      <c r="O28" s="278">
        <v>0</v>
      </c>
      <c r="P28" s="1314"/>
      <c r="Q28" s="617"/>
      <c r="R28" s="277">
        <v>0</v>
      </c>
      <c r="S28" s="278"/>
      <c r="T28" s="278"/>
      <c r="U28" s="278"/>
      <c r="V28" s="278"/>
      <c r="W28" s="1314"/>
      <c r="X28" s="277">
        <v>0</v>
      </c>
      <c r="Y28" s="278"/>
      <c r="Z28" s="278"/>
      <c r="AA28" s="278"/>
      <c r="AB28" s="278"/>
      <c r="AC28" s="1314"/>
      <c r="AD28" s="651"/>
    </row>
    <row r="29" spans="1:30" s="7" customFormat="1" ht="33" customHeight="1" thickBot="1">
      <c r="A29" s="61" t="s">
        <v>12</v>
      </c>
      <c r="B29" s="1378" t="s">
        <v>102</v>
      </c>
      <c r="C29" s="1378"/>
      <c r="D29" s="1378"/>
      <c r="E29" s="275">
        <f aca="true" t="shared" si="8" ref="E29:N29">E5+E16+E24+E28</f>
        <v>984355461</v>
      </c>
      <c r="F29" s="275">
        <f t="shared" si="8"/>
        <v>1022284603</v>
      </c>
      <c r="G29" s="275">
        <f t="shared" si="8"/>
        <v>1027161289</v>
      </c>
      <c r="H29" s="275">
        <f t="shared" si="8"/>
        <v>1066983671</v>
      </c>
      <c r="I29" s="275">
        <f t="shared" si="8"/>
        <v>823137087</v>
      </c>
      <c r="J29" s="955">
        <f t="shared" si="2"/>
        <v>0.7714617471404583</v>
      </c>
      <c r="K29" s="275">
        <f t="shared" si="8"/>
        <v>870968673</v>
      </c>
      <c r="L29" s="35">
        <f t="shared" si="8"/>
        <v>907337363</v>
      </c>
      <c r="M29" s="35">
        <f t="shared" si="8"/>
        <v>911547661</v>
      </c>
      <c r="N29" s="35">
        <f t="shared" si="8"/>
        <v>943353912</v>
      </c>
      <c r="O29" s="35">
        <f>O5+O16+O24+O28</f>
        <v>784989031</v>
      </c>
      <c r="P29" s="955">
        <f t="shared" si="4"/>
        <v>0.8321256964268571</v>
      </c>
      <c r="Q29" s="611" t="e">
        <f>#REF!/N29</f>
        <v>#REF!</v>
      </c>
      <c r="R29" s="275">
        <f aca="true" t="shared" si="9" ref="R29:AD29">R5+R16+R24+R28</f>
        <v>113386788</v>
      </c>
      <c r="S29" s="35">
        <f t="shared" si="9"/>
        <v>114947240</v>
      </c>
      <c r="T29" s="35">
        <f>T5+T16+T24+T28</f>
        <v>115613628</v>
      </c>
      <c r="U29" s="35">
        <f t="shared" si="9"/>
        <v>123629759</v>
      </c>
      <c r="V29" s="35">
        <f>V5+V16+V24+V28</f>
        <v>38148056</v>
      </c>
      <c r="W29" s="955">
        <f t="shared" si="5"/>
        <v>0.30856693654154904</v>
      </c>
      <c r="X29" s="275">
        <f t="shared" si="9"/>
        <v>5776781</v>
      </c>
      <c r="Y29" s="35">
        <f t="shared" si="9"/>
        <v>5776781</v>
      </c>
      <c r="Z29" s="35">
        <f t="shared" si="9"/>
        <v>5776781</v>
      </c>
      <c r="AA29" s="35">
        <f t="shared" si="9"/>
        <v>5776781</v>
      </c>
      <c r="AB29" s="35">
        <f>AB5+AB16+AB24+AB28</f>
        <v>5538912</v>
      </c>
      <c r="AC29" s="955">
        <f>+AB29/AA29</f>
        <v>0.958823261605382</v>
      </c>
      <c r="AD29" s="649">
        <f t="shared" si="9"/>
        <v>0</v>
      </c>
    </row>
    <row r="30" spans="1:30" s="7" customFormat="1" ht="33" customHeight="1" thickBot="1">
      <c r="A30" s="40" t="s">
        <v>13</v>
      </c>
      <c r="B30" s="1389" t="s">
        <v>210</v>
      </c>
      <c r="C30" s="1389"/>
      <c r="D30" s="1389"/>
      <c r="E30" s="279">
        <f aca="true" t="shared" si="10" ref="E30:N30">SUM(E31:E33)</f>
        <v>42288120</v>
      </c>
      <c r="F30" s="279">
        <f t="shared" si="10"/>
        <v>12788120</v>
      </c>
      <c r="G30" s="279">
        <f t="shared" si="10"/>
        <v>12788120</v>
      </c>
      <c r="H30" s="279">
        <f>SUM(H31:H33)</f>
        <v>12788120</v>
      </c>
      <c r="I30" s="279">
        <f>SUM(I31:I33)</f>
        <v>12788120</v>
      </c>
      <c r="J30" s="1316">
        <f t="shared" si="2"/>
        <v>1</v>
      </c>
      <c r="K30" s="279">
        <f t="shared" si="10"/>
        <v>42288120</v>
      </c>
      <c r="L30" s="64">
        <f t="shared" si="10"/>
        <v>12788120</v>
      </c>
      <c r="M30" s="64">
        <f t="shared" si="10"/>
        <v>12788120</v>
      </c>
      <c r="N30" s="64">
        <f t="shared" si="10"/>
        <v>12788120</v>
      </c>
      <c r="O30" s="64">
        <f>SUM(O31:O33)</f>
        <v>12788120</v>
      </c>
      <c r="P30" s="1316">
        <f t="shared" si="4"/>
        <v>1</v>
      </c>
      <c r="Q30" s="611" t="e">
        <f>#REF!/N30</f>
        <v>#REF!</v>
      </c>
      <c r="R30" s="279"/>
      <c r="S30" s="64"/>
      <c r="T30" s="64"/>
      <c r="U30" s="64"/>
      <c r="V30" s="64"/>
      <c r="W30" s="1316"/>
      <c r="X30" s="279"/>
      <c r="Y30" s="64"/>
      <c r="Z30" s="64"/>
      <c r="AA30" s="64"/>
      <c r="AB30" s="64"/>
      <c r="AC30" s="1316"/>
      <c r="AD30" s="652"/>
    </row>
    <row r="31" spans="1:30" s="4" customFormat="1" ht="33" customHeight="1">
      <c r="A31" s="79"/>
      <c r="B31" s="65" t="s">
        <v>46</v>
      </c>
      <c r="C31" s="1372" t="s">
        <v>281</v>
      </c>
      <c r="D31" s="1372"/>
      <c r="E31" s="280">
        <f>'4.sz.m.ÖNK kiadás'!E33</f>
        <v>3023740</v>
      </c>
      <c r="F31" s="280">
        <f>'4.sz.m.ÖNK kiadás'!F33</f>
        <v>3023740</v>
      </c>
      <c r="G31" s="280">
        <f>'4.sz.m.ÖNK kiadás'!G33</f>
        <v>3023740</v>
      </c>
      <c r="H31" s="280">
        <f>'4.sz.m.ÖNK kiadás'!H33</f>
        <v>3023740</v>
      </c>
      <c r="I31" s="280">
        <f>'4.sz.m.ÖNK kiadás'!I33</f>
        <v>3023740</v>
      </c>
      <c r="J31" s="1311">
        <f t="shared" si="2"/>
        <v>1</v>
      </c>
      <c r="K31" s="280">
        <f>'4.sz.m.ÖNK kiadás'!L33</f>
        <v>3023740</v>
      </c>
      <c r="L31" s="78">
        <f>'4.sz.m.ÖNK kiadás'!M33</f>
        <v>3023740</v>
      </c>
      <c r="M31" s="78">
        <f>'4.sz.m.ÖNK kiadás'!N33</f>
        <v>3023740</v>
      </c>
      <c r="N31" s="228">
        <f>'4.sz.m.ÖNK kiadás'!O33</f>
        <v>3023740</v>
      </c>
      <c r="O31" s="228">
        <f>'4.sz.m.ÖNK kiadás'!P33</f>
        <v>3023740</v>
      </c>
      <c r="P31" s="1311">
        <f t="shared" si="4"/>
        <v>1</v>
      </c>
      <c r="Q31" s="616"/>
      <c r="R31" s="276">
        <v>0</v>
      </c>
      <c r="S31" s="228"/>
      <c r="T31" s="228"/>
      <c r="U31" s="228"/>
      <c r="V31" s="228"/>
      <c r="W31" s="1311"/>
      <c r="X31" s="276">
        <v>0</v>
      </c>
      <c r="Y31" s="228"/>
      <c r="Z31" s="228"/>
      <c r="AA31" s="228"/>
      <c r="AB31" s="228"/>
      <c r="AC31" s="1311"/>
      <c r="AD31" s="650"/>
    </row>
    <row r="32" spans="1:30" s="4" customFormat="1" ht="33" customHeight="1">
      <c r="A32" s="75"/>
      <c r="B32" s="66" t="s">
        <v>324</v>
      </c>
      <c r="C32" s="1388" t="s">
        <v>455</v>
      </c>
      <c r="D32" s="1388"/>
      <c r="E32" s="271">
        <f>'4.sz.m.ÖNK kiadás'!E34</f>
        <v>29500000</v>
      </c>
      <c r="F32" s="271">
        <f>'4.sz.m.ÖNK kiadás'!F34</f>
        <v>0</v>
      </c>
      <c r="G32" s="271">
        <f>'4.sz.m.ÖNK kiadás'!G34</f>
        <v>0</v>
      </c>
      <c r="H32" s="271">
        <f>'4.sz.m.ÖNK kiadás'!H34</f>
        <v>0</v>
      </c>
      <c r="I32" s="271">
        <f>'4.sz.m.ÖNK kiadás'!I34</f>
        <v>0</v>
      </c>
      <c r="J32" s="1310"/>
      <c r="K32" s="271">
        <f>'4.sz.m.ÖNK kiadás'!L34</f>
        <v>29500000</v>
      </c>
      <c r="L32" s="304">
        <f>'4.sz.m.ÖNK kiadás'!M34</f>
        <v>0</v>
      </c>
      <c r="M32" s="304">
        <f>'4.sz.m.ÖNK kiadás'!N34</f>
        <v>0</v>
      </c>
      <c r="N32" s="78">
        <f>'4.sz.m.ÖNK kiadás'!O34</f>
        <v>0</v>
      </c>
      <c r="O32" s="78">
        <f>'4.sz.m.ÖNK kiadás'!P34</f>
        <v>0</v>
      </c>
      <c r="P32" s="1310"/>
      <c r="Q32" s="613"/>
      <c r="R32" s="280">
        <v>0</v>
      </c>
      <c r="S32" s="78"/>
      <c r="T32" s="78"/>
      <c r="U32" s="78"/>
      <c r="V32" s="78"/>
      <c r="W32" s="1310"/>
      <c r="X32" s="280">
        <v>0</v>
      </c>
      <c r="Y32" s="78"/>
      <c r="Z32" s="78"/>
      <c r="AA32" s="78"/>
      <c r="AB32" s="78"/>
      <c r="AC32" s="1310"/>
      <c r="AD32" s="653"/>
    </row>
    <row r="33" spans="1:30" s="4" customFormat="1" ht="33" customHeight="1" thickBot="1">
      <c r="A33" s="75"/>
      <c r="B33" s="66" t="s">
        <v>426</v>
      </c>
      <c r="C33" s="1396" t="s">
        <v>425</v>
      </c>
      <c r="D33" s="1396"/>
      <c r="E33" s="280">
        <f>'4.sz.m.ÖNK kiadás'!E36</f>
        <v>9764380</v>
      </c>
      <c r="F33" s="280">
        <f>'4.sz.m.ÖNK kiadás'!F36</f>
        <v>9764380</v>
      </c>
      <c r="G33" s="280">
        <f>'4.sz.m.ÖNK kiadás'!G36</f>
        <v>9764380</v>
      </c>
      <c r="H33" s="280">
        <f>'4.sz.m.ÖNK kiadás'!H36</f>
        <v>9764380</v>
      </c>
      <c r="I33" s="280">
        <f>'4.sz.m.ÖNK kiadás'!I36</f>
        <v>9764380</v>
      </c>
      <c r="J33" s="1311">
        <f t="shared" si="2"/>
        <v>1</v>
      </c>
      <c r="K33" s="280">
        <f>'4.sz.m.ÖNK kiadás'!L36</f>
        <v>9764380</v>
      </c>
      <c r="L33" s="78">
        <f>'4.sz.m.ÖNK kiadás'!M36</f>
        <v>9764380</v>
      </c>
      <c r="M33" s="78">
        <f>'4.sz.m.ÖNK kiadás'!N36</f>
        <v>9764380</v>
      </c>
      <c r="N33" s="78">
        <f>'4.sz.m.ÖNK kiadás'!O36</f>
        <v>9764380</v>
      </c>
      <c r="O33" s="78">
        <f>'4.sz.m.ÖNK kiadás'!P36</f>
        <v>9764380</v>
      </c>
      <c r="P33" s="1311">
        <f t="shared" si="4"/>
        <v>1</v>
      </c>
      <c r="Q33" s="616" t="e">
        <f>#REF!/N33</f>
        <v>#REF!</v>
      </c>
      <c r="R33" s="280">
        <v>0</v>
      </c>
      <c r="S33" s="78"/>
      <c r="T33" s="78"/>
      <c r="U33" s="78"/>
      <c r="V33" s="78"/>
      <c r="W33" s="1311"/>
      <c r="X33" s="280">
        <v>0</v>
      </c>
      <c r="Y33" s="78"/>
      <c r="Z33" s="78"/>
      <c r="AA33" s="78"/>
      <c r="AB33" s="78"/>
      <c r="AC33" s="1311"/>
      <c r="AD33" s="653"/>
    </row>
    <row r="34" spans="1:30" s="4" customFormat="1" ht="33" customHeight="1" thickBot="1">
      <c r="A34" s="291" t="s">
        <v>14</v>
      </c>
      <c r="B34" s="1398" t="s">
        <v>237</v>
      </c>
      <c r="C34" s="1398"/>
      <c r="D34" s="1398"/>
      <c r="E34" s="292">
        <f>E29+E30</f>
        <v>1026643581</v>
      </c>
      <c r="F34" s="292">
        <f>F29+F30</f>
        <v>1035072723</v>
      </c>
      <c r="G34" s="292">
        <f>G29+G30</f>
        <v>1039949409</v>
      </c>
      <c r="H34" s="292">
        <f>H29+H30</f>
        <v>1079771791</v>
      </c>
      <c r="I34" s="292">
        <f>I29+I30</f>
        <v>835925207</v>
      </c>
      <c r="J34" s="1320">
        <f t="shared" si="2"/>
        <v>0.7741684066647375</v>
      </c>
      <c r="K34" s="292">
        <f>K29+K30</f>
        <v>913256793</v>
      </c>
      <c r="L34" s="293">
        <f>L29+L30</f>
        <v>920125483</v>
      </c>
      <c r="M34" s="293">
        <f>M29+M30</f>
        <v>924335781</v>
      </c>
      <c r="N34" s="293">
        <f>N29+N30</f>
        <v>956142032</v>
      </c>
      <c r="O34" s="293">
        <f>O29+O30</f>
        <v>797777151</v>
      </c>
      <c r="P34" s="1320">
        <f t="shared" si="4"/>
        <v>0.8343709661327806</v>
      </c>
      <c r="Q34" s="619" t="e">
        <f>#REF!/N34</f>
        <v>#REF!</v>
      </c>
      <c r="R34" s="292">
        <f aca="true" t="shared" si="11" ref="R34:Z34">R29+R30</f>
        <v>113386788</v>
      </c>
      <c r="S34" s="293">
        <f>S29+S30</f>
        <v>114947240</v>
      </c>
      <c r="T34" s="293">
        <f>T29+T30</f>
        <v>115613628</v>
      </c>
      <c r="U34" s="293">
        <f>U29+U30</f>
        <v>123629759</v>
      </c>
      <c r="V34" s="293">
        <f>V29+V30</f>
        <v>38148056</v>
      </c>
      <c r="W34" s="1320">
        <f t="shared" si="5"/>
        <v>0.30856693654154904</v>
      </c>
      <c r="X34" s="292">
        <f t="shared" si="11"/>
        <v>5776781</v>
      </c>
      <c r="Y34" s="293">
        <f t="shared" si="11"/>
        <v>5776781</v>
      </c>
      <c r="Z34" s="293">
        <f t="shared" si="11"/>
        <v>5776781</v>
      </c>
      <c r="AA34" s="293">
        <f>AA29+AA30</f>
        <v>5776781</v>
      </c>
      <c r="AB34" s="293">
        <f>AB29+AB30</f>
        <v>5538912</v>
      </c>
      <c r="AC34" s="1320">
        <f>+AB34/AA34</f>
        <v>0.958823261605382</v>
      </c>
      <c r="AD34" s="654">
        <f>AD29+AD30</f>
        <v>0</v>
      </c>
    </row>
    <row r="35" spans="1:30" s="4" customFormat="1" ht="33" customHeight="1" hidden="1" thickBot="1">
      <c r="A35" s="1394" t="s">
        <v>238</v>
      </c>
      <c r="B35" s="1395"/>
      <c r="C35" s="1395"/>
      <c r="D35" s="1395"/>
      <c r="E35" s="339"/>
      <c r="F35" s="339"/>
      <c r="G35" s="339"/>
      <c r="H35" s="339"/>
      <c r="I35" s="339"/>
      <c r="J35" s="1321" t="e">
        <f t="shared" si="2"/>
        <v>#DIV/0!</v>
      </c>
      <c r="K35" s="339"/>
      <c r="L35" s="294"/>
      <c r="M35" s="294"/>
      <c r="N35" s="294"/>
      <c r="O35" s="294"/>
      <c r="P35" s="1321" t="e">
        <f t="shared" si="4"/>
        <v>#DIV/0!</v>
      </c>
      <c r="Q35" s="613"/>
      <c r="R35" s="339"/>
      <c r="S35" s="294"/>
      <c r="T35" s="294"/>
      <c r="U35" s="294"/>
      <c r="V35" s="294"/>
      <c r="W35" s="1321" t="e">
        <f t="shared" si="5"/>
        <v>#DIV/0!</v>
      </c>
      <c r="X35" s="339"/>
      <c r="Y35" s="294"/>
      <c r="Z35" s="294"/>
      <c r="AA35" s="294"/>
      <c r="AB35" s="294"/>
      <c r="AC35" s="1321" t="e">
        <f>+AB35/AA35</f>
        <v>#DIV/0!</v>
      </c>
      <c r="AD35" s="653"/>
    </row>
    <row r="36" spans="1:30" s="4" customFormat="1" ht="33" customHeight="1" thickBot="1">
      <c r="A36" s="1377" t="s">
        <v>104</v>
      </c>
      <c r="B36" s="1378"/>
      <c r="C36" s="1378"/>
      <c r="D36" s="1378"/>
      <c r="E36" s="275">
        <f aca="true" t="shared" si="12" ref="E36:N36">E34+E35</f>
        <v>1026643581</v>
      </c>
      <c r="F36" s="275">
        <f t="shared" si="12"/>
        <v>1035072723</v>
      </c>
      <c r="G36" s="275">
        <f t="shared" si="12"/>
        <v>1039949409</v>
      </c>
      <c r="H36" s="275">
        <f t="shared" si="12"/>
        <v>1079771791</v>
      </c>
      <c r="I36" s="275">
        <f t="shared" si="12"/>
        <v>835925207</v>
      </c>
      <c r="J36" s="955">
        <f t="shared" si="2"/>
        <v>0.7741684066647375</v>
      </c>
      <c r="K36" s="275">
        <f t="shared" si="12"/>
        <v>913256793</v>
      </c>
      <c r="L36" s="35">
        <f t="shared" si="12"/>
        <v>920125483</v>
      </c>
      <c r="M36" s="35">
        <f t="shared" si="12"/>
        <v>924335781</v>
      </c>
      <c r="N36" s="35">
        <f t="shared" si="12"/>
        <v>956142032</v>
      </c>
      <c r="O36" s="35">
        <f>O34+O35</f>
        <v>797777151</v>
      </c>
      <c r="P36" s="955">
        <f t="shared" si="4"/>
        <v>0.8343709661327806</v>
      </c>
      <c r="Q36" s="611" t="e">
        <f>#REF!/N36</f>
        <v>#REF!</v>
      </c>
      <c r="R36" s="275">
        <f aca="true" t="shared" si="13" ref="R36:AD36">R34+R35</f>
        <v>113386788</v>
      </c>
      <c r="S36" s="35">
        <f t="shared" si="13"/>
        <v>114947240</v>
      </c>
      <c r="T36" s="35">
        <f>T34+T35</f>
        <v>115613628</v>
      </c>
      <c r="U36" s="35">
        <f t="shared" si="13"/>
        <v>123629759</v>
      </c>
      <c r="V36" s="35">
        <f>V34+V35</f>
        <v>38148056</v>
      </c>
      <c r="W36" s="955">
        <f t="shared" si="5"/>
        <v>0.30856693654154904</v>
      </c>
      <c r="X36" s="275">
        <f t="shared" si="13"/>
        <v>5776781</v>
      </c>
      <c r="Y36" s="35">
        <f t="shared" si="13"/>
        <v>5776781</v>
      </c>
      <c r="Z36" s="35">
        <f t="shared" si="13"/>
        <v>5776781</v>
      </c>
      <c r="AA36" s="35">
        <f t="shared" si="13"/>
        <v>5776781</v>
      </c>
      <c r="AB36" s="35">
        <f>AB34+AB35</f>
        <v>5538912</v>
      </c>
      <c r="AC36" s="955">
        <f>+AB36/AA36</f>
        <v>0.958823261605382</v>
      </c>
      <c r="AD36" s="649">
        <f t="shared" si="13"/>
        <v>0</v>
      </c>
    </row>
    <row r="37" spans="1:29" s="4" customFormat="1" ht="19.5" customHeight="1">
      <c r="A37" s="29"/>
      <c r="B37" s="68"/>
      <c r="C37" s="29"/>
      <c r="D37" s="29"/>
      <c r="E37" s="750" t="str">
        <f>IF(K36+R36=E36," ","HIBA-nincs egyenlőség")</f>
        <v> </v>
      </c>
      <c r="F37" s="750" t="str">
        <f>IF(L36+S36=F36," ","HIBA-nincs egyenlőség")</f>
        <v> </v>
      </c>
      <c r="G37" s="750" t="str">
        <f>IF(M36+T36=G36," ","HIBA-nincs egyenlőség")</f>
        <v> </v>
      </c>
      <c r="H37" s="750" t="str">
        <f>IF(N36+U36=H36," ","HIBA-nincs egyenlőség")</f>
        <v> </v>
      </c>
      <c r="I37" s="750"/>
      <c r="J37" s="750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74"/>
      <c r="Y37" s="74"/>
      <c r="Z37" s="74"/>
      <c r="AA37" s="74"/>
      <c r="AB37" s="74"/>
      <c r="AC37" s="74"/>
    </row>
    <row r="38" spans="1:29" s="4" customFormat="1" ht="19.5" customHeight="1">
      <c r="A38" s="29"/>
      <c r="B38" s="68"/>
      <c r="C38" s="29"/>
      <c r="D38" s="29"/>
      <c r="E38" s="5"/>
      <c r="F38" s="5"/>
      <c r="G38" s="5"/>
      <c r="H38" s="5"/>
      <c r="I38" s="5"/>
      <c r="J38" s="5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340"/>
      <c r="Y38" s="340"/>
      <c r="Z38" s="340"/>
      <c r="AA38" s="340"/>
      <c r="AB38" s="340"/>
      <c r="AC38" s="340"/>
    </row>
    <row r="39" spans="1:29" s="4" customFormat="1" ht="19.5" customHeight="1">
      <c r="A39" s="29"/>
      <c r="B39" s="68"/>
      <c r="C39" s="1400" t="s">
        <v>53</v>
      </c>
      <c r="D39" s="1400"/>
      <c r="E39" s="1400"/>
      <c r="F39" s="1400"/>
      <c r="G39" s="1400"/>
      <c r="H39" s="1400"/>
      <c r="I39" s="1400"/>
      <c r="J39" s="1400"/>
      <c r="K39" s="1400"/>
      <c r="L39" s="1400"/>
      <c r="M39" s="1400"/>
      <c r="N39" s="1400"/>
      <c r="O39" s="1400"/>
      <c r="P39" s="1400"/>
      <c r="Q39" s="1400"/>
      <c r="R39" s="1400"/>
      <c r="S39" s="230"/>
      <c r="T39" s="230"/>
      <c r="U39" s="230"/>
      <c r="V39" s="230"/>
      <c r="W39" s="230"/>
      <c r="X39" s="341"/>
      <c r="Y39" s="341"/>
      <c r="Z39" s="341"/>
      <c r="AA39" s="341"/>
      <c r="AB39" s="341"/>
      <c r="AC39" s="342"/>
    </row>
    <row r="40" spans="1:29" s="4" customFormat="1" ht="19.5" customHeight="1" thickBot="1">
      <c r="A40" s="193" t="s">
        <v>54</v>
      </c>
      <c r="B40" s="193"/>
      <c r="F40" s="175"/>
      <c r="G40" s="175"/>
      <c r="H40" s="175"/>
      <c r="I40" s="175"/>
      <c r="J40" s="175"/>
      <c r="K40" s="176"/>
      <c r="L40" s="176"/>
      <c r="M40" s="176"/>
      <c r="N40" s="176"/>
      <c r="O40" s="176"/>
      <c r="P40" s="176"/>
      <c r="Q40" s="176"/>
      <c r="R40" s="177">
        <v>0</v>
      </c>
      <c r="S40" s="177"/>
      <c r="T40" s="177"/>
      <c r="U40" s="177"/>
      <c r="V40" s="177"/>
      <c r="W40" s="177"/>
      <c r="X40" s="81"/>
      <c r="Y40" s="81"/>
      <c r="Z40" s="81"/>
      <c r="AA40" s="81"/>
      <c r="AB40" s="81"/>
      <c r="AC40" s="343"/>
    </row>
    <row r="41" spans="1:31" ht="52.5" customHeight="1" thickBot="1">
      <c r="A41" s="178">
        <v>1</v>
      </c>
      <c r="B41" s="1419" t="s">
        <v>154</v>
      </c>
      <c r="C41" s="1420"/>
      <c r="D41" s="1421"/>
      <c r="E41" s="192">
        <f>'1.sz.m-önk.össze.bev'!E57-'1 .sz.m.önk.össz.kiad.'!E29</f>
        <v>-311020666</v>
      </c>
      <c r="F41" s="192">
        <f>'1.sz.m-önk.össze.bev'!F57-'1 .sz.m.önk.össz.kiad.'!F29</f>
        <v>-340520666</v>
      </c>
      <c r="G41" s="192">
        <f>'1.sz.m-önk.össze.bev'!G57-'1 .sz.m.önk.össz.kiad.'!G29</f>
        <v>-340187276</v>
      </c>
      <c r="H41" s="192">
        <f>'1.sz.m-önk.össze.bev'!H57-'1 .sz.m.önk.össz.kiad.'!H29</f>
        <v>-350499833</v>
      </c>
      <c r="I41" s="192">
        <f>'1.sz.m-önk.össze.bev'!I57-'1 .sz.m.önk.össz.kiad.'!I29</f>
        <v>-158302616</v>
      </c>
      <c r="J41" s="192">
        <f>'1.sz.m-önk.össze.bev'!J57-'1 .sz.m.önk.össz.kiad.'!J29</f>
        <v>0.15645097850569922</v>
      </c>
      <c r="K41" s="192">
        <f>'1.sz.m-önk.össze.bev'!K57-'1 .sz.m.önk.össz.kiad.'!K29</f>
        <v>-311020666</v>
      </c>
      <c r="L41" s="192">
        <f>'1.sz.m-önk.össze.bev'!L57-'1 .sz.m.önk.össz.kiad.'!L29</f>
        <v>-340520666</v>
      </c>
      <c r="M41" s="192">
        <f>'1.sz.m-önk.össze.bev'!M57-'1 .sz.m.önk.össz.kiad.'!M29</f>
        <v>-340187276</v>
      </c>
      <c r="N41" s="192">
        <f>'1.sz.m-önk.össze.bev'!N57-'1 .sz.m.önk.össz.kiad.'!N29</f>
        <v>-350499833</v>
      </c>
      <c r="O41" s="192">
        <f>'1.sz.m-önk.össze.bev'!O57-'1 .sz.m.önk.össz.kiad.'!O29</f>
        <v>-194718878</v>
      </c>
      <c r="P41" s="192">
        <f>'1.sz.m-önk.össze.bev'!P57-'1 .sz.m.önk.össz.kiad.'!P29</f>
        <v>0.16351585165128313</v>
      </c>
      <c r="Q41" s="192" t="e">
        <f>'1.sz.m-önk.össze.bev'!Q57-'1 .sz.m.önk.össz.kiad.'!Q29</f>
        <v>#REF!</v>
      </c>
      <c r="R41" s="192">
        <f>'1.sz.m-önk.össze.bev'!R57-'1 .sz.m.önk.össz.kiad.'!R29</f>
        <v>0</v>
      </c>
      <c r="S41" s="192">
        <f>'1.sz.m-önk.össze.bev'!S57-'1 .sz.m.önk.össz.kiad.'!S29</f>
        <v>0</v>
      </c>
      <c r="T41" s="192">
        <f>'1.sz.m-önk.össze.bev'!T57-'1 .sz.m.önk.össz.kiad.'!T29</f>
        <v>0</v>
      </c>
      <c r="U41" s="192">
        <f>'1.sz.m-önk.össze.bev'!U57-'1 .sz.m.önk.össz.kiad.'!U29</f>
        <v>0</v>
      </c>
      <c r="V41" s="192">
        <f>'1.sz.m-önk.össze.bev'!V57-'1 .sz.m.önk.össz.kiad.'!V29</f>
        <v>36416262</v>
      </c>
      <c r="W41" s="192">
        <f>'1.sz.m-önk.össze.bev'!W57-'1 .sz.m.önk.össz.kiad.'!W29</f>
        <v>0.29455903088834784</v>
      </c>
      <c r="X41" s="192">
        <f>'1.sz.m-önk.össze.bev'!X57-'1 .sz.m.önk.össz.kiad.'!X29</f>
        <v>0</v>
      </c>
      <c r="Y41" s="192">
        <f>'1.sz.m-önk.össze.bev'!Y57-'1 .sz.m.önk.össz.kiad.'!Y29</f>
        <v>0</v>
      </c>
      <c r="Z41" s="192">
        <f>'1.sz.m-önk.össze.bev'!Z57-'1 .sz.m.önk.össz.kiad.'!Z29</f>
        <v>0</v>
      </c>
      <c r="AA41" s="192">
        <f>'1.sz.m-önk.össze.bev'!AA57-'1 .sz.m.önk.össz.kiad.'!AA29</f>
        <v>0</v>
      </c>
      <c r="AB41" s="192">
        <f>'1.sz.m-önk.össze.bev'!AB57-'1 .sz.m.önk.össz.kiad.'!AB29</f>
        <v>0</v>
      </c>
      <c r="AC41" s="192">
        <f>'1.sz.m-önk.össze.bev'!AC57-'1 .sz.m.önk.össz.kiad.'!AC29</f>
        <v>0</v>
      </c>
      <c r="AD41" s="192">
        <f>'1.sz.m-önk.össze.bev'!AD57-'1 .sz.m.önk.össz.kiad.'!AD29</f>
        <v>5610894</v>
      </c>
      <c r="AE41" s="192">
        <f>'1.sz.m-önk.össze.bev'!AE57-'1 .sz.m.önk.össz.kiad.'!AE29</f>
        <v>0</v>
      </c>
    </row>
    <row r="42" spans="3:23" ht="15.75">
      <c r="C42" s="175"/>
      <c r="D42" s="175"/>
      <c r="E42" s="179"/>
      <c r="F42" s="179"/>
      <c r="G42" s="179"/>
      <c r="H42" s="179"/>
      <c r="I42" s="179"/>
      <c r="J42" s="179"/>
      <c r="K42" s="176"/>
      <c r="L42" s="176"/>
      <c r="M42" s="176"/>
      <c r="N42" s="176"/>
      <c r="O42" s="176"/>
      <c r="P42" s="176"/>
      <c r="Q42" s="176"/>
      <c r="R42" s="177">
        <v>0</v>
      </c>
      <c r="S42" s="177"/>
      <c r="T42" s="177"/>
      <c r="U42" s="177"/>
      <c r="V42" s="177"/>
      <c r="W42" s="177"/>
    </row>
    <row r="43" spans="3:23" ht="15.75" customHeight="1">
      <c r="C43" s="1417" t="s">
        <v>155</v>
      </c>
      <c r="D43" s="1417"/>
      <c r="E43" s="1417"/>
      <c r="F43" s="1417"/>
      <c r="G43" s="1417"/>
      <c r="H43" s="1417"/>
      <c r="I43" s="1417"/>
      <c r="J43" s="1417"/>
      <c r="K43" s="1417"/>
      <c r="L43" s="1417"/>
      <c r="M43" s="1417"/>
      <c r="N43" s="1417"/>
      <c r="O43" s="1417"/>
      <c r="P43" s="1417"/>
      <c r="Q43" s="1417"/>
      <c r="R43" s="1417"/>
      <c r="S43" s="183"/>
      <c r="T43" s="183"/>
      <c r="U43" s="183"/>
      <c r="V43" s="183"/>
      <c r="W43" s="183"/>
    </row>
    <row r="44" spans="1:23" ht="16.5" thickBot="1">
      <c r="A44" s="193" t="s">
        <v>156</v>
      </c>
      <c r="C44" s="1422"/>
      <c r="D44" s="1422"/>
      <c r="E44" s="175"/>
      <c r="F44" s="175"/>
      <c r="G44" s="175"/>
      <c r="H44" s="175"/>
      <c r="I44" s="175"/>
      <c r="J44" s="175"/>
      <c r="K44" s="176"/>
      <c r="L44" s="176"/>
      <c r="M44" s="176"/>
      <c r="N44" s="176"/>
      <c r="O44" s="176"/>
      <c r="P44" s="176"/>
      <c r="Q44" s="176"/>
      <c r="R44" s="177">
        <v>0</v>
      </c>
      <c r="S44" s="177"/>
      <c r="T44" s="177"/>
      <c r="U44" s="177"/>
      <c r="V44" s="177"/>
      <c r="W44" s="177"/>
    </row>
    <row r="45" spans="1:30" ht="27.75" customHeight="1">
      <c r="A45" s="189" t="s">
        <v>27</v>
      </c>
      <c r="B45" s="1391" t="s">
        <v>693</v>
      </c>
      <c r="C45" s="1392"/>
      <c r="D45" s="1393"/>
      <c r="E45" s="207">
        <f>'1.sz.m-önk.össze.bev'!E61-'2.sz.m.összehasonlító'!B27</f>
        <v>26114931</v>
      </c>
      <c r="F45" s="207">
        <f>'1.sz.m-önk.össze.bev'!F61-'2.sz.m.összehasonlító'!C27</f>
        <v>26114931</v>
      </c>
      <c r="G45" s="207">
        <f>'1.sz.m-önk.össze.bev'!G61-'2.sz.m.összehasonlító'!D27</f>
        <v>25781541</v>
      </c>
      <c r="H45" s="207">
        <f>'1.sz.m-önk.össze.bev'!H61-'2.sz.m.összehasonlító'!E27</f>
        <v>25781541</v>
      </c>
      <c r="I45" s="207">
        <f>'1.sz.m-önk.össze.bev'!I61-'2.sz.m.összehasonlító'!F27</f>
        <v>25781541</v>
      </c>
      <c r="J45" s="207"/>
      <c r="K45" s="207">
        <f>'1.sz.m-önk.össze.bev'!K61-'2.sz.m.összehasonlító'!B27</f>
        <v>26114931</v>
      </c>
      <c r="L45" s="207">
        <f>'1.sz.m-önk.össze.bev'!L61-'2.sz.m.összehasonlító'!C27</f>
        <v>26114931</v>
      </c>
      <c r="M45" s="207">
        <f>'1.sz.m-önk.össze.bev'!M61-'2.sz.m.összehasonlító'!D27</f>
        <v>25781541</v>
      </c>
      <c r="N45" s="207">
        <f>'1.sz.m-önk.össze.bev'!N61-'2.sz.m.összehasonlító'!E27</f>
        <v>25781541</v>
      </c>
      <c r="O45" s="207">
        <f>'1.sz.m-önk.össze.bev'!O61-'2.sz.m.összehasonlító'!F27</f>
        <v>25781541</v>
      </c>
      <c r="P45" s="207">
        <f>'1.sz.m-önk.össze.bev'!P61-'2.sz.m.összehasonlító'!G27</f>
        <v>0</v>
      </c>
      <c r="Q45" s="207">
        <f>'1.sz.m-önk.össze.bev'!Q61</f>
        <v>3.091425228520317E-09</v>
      </c>
      <c r="R45" s="207">
        <f>'1.sz.m-önk.össze.bev'!R61</f>
        <v>0</v>
      </c>
      <c r="S45" s="207">
        <f>'1.sz.m-önk.össze.bev'!S61</f>
        <v>0</v>
      </c>
      <c r="T45" s="207">
        <f>'1.sz.m-önk.össze.bev'!T61</f>
        <v>0</v>
      </c>
      <c r="U45" s="207">
        <f>'1.sz.m-önk.össze.bev'!U61</f>
        <v>0</v>
      </c>
      <c r="V45" s="207">
        <f>'1.sz.m-önk.össze.bev'!V61</f>
        <v>0</v>
      </c>
      <c r="W45" s="207">
        <f>'1.sz.m-önk.össze.bev'!W61</f>
        <v>0</v>
      </c>
      <c r="X45" s="207">
        <f>'1.sz.m-önk.össze.bev'!X61</f>
        <v>0</v>
      </c>
      <c r="Y45" s="207">
        <f>'1.sz.m-önk.össze.bev'!Y61</f>
        <v>0</v>
      </c>
      <c r="Z45" s="207">
        <f>'1.sz.m-önk.össze.bev'!Z61</f>
        <v>0</v>
      </c>
      <c r="AA45" s="207">
        <f>'1.sz.m-önk.össze.bev'!AA61</f>
        <v>0</v>
      </c>
      <c r="AB45" s="207">
        <f>'1.sz.m-önk.össze.bev'!AB61</f>
        <v>0</v>
      </c>
      <c r="AC45" s="207">
        <f>'1.sz.m-önk.össze.bev'!AC61</f>
        <v>0</v>
      </c>
      <c r="AD45" s="207">
        <f>'1.sz.m-önk.össze.bev'!AD61</f>
        <v>0</v>
      </c>
    </row>
    <row r="46" spans="1:30" ht="27.75" customHeight="1">
      <c r="A46" s="190" t="s">
        <v>28</v>
      </c>
      <c r="B46" s="1408" t="s">
        <v>694</v>
      </c>
      <c r="C46" s="1409"/>
      <c r="D46" s="1410"/>
      <c r="E46" s="208">
        <f>'2.sz.m.összehasonlító'!B27</f>
        <v>297693855</v>
      </c>
      <c r="F46" s="208">
        <f>'2.sz.m.összehasonlító'!C27</f>
        <v>297693855</v>
      </c>
      <c r="G46" s="208">
        <f>'2.sz.m.összehasonlító'!D27</f>
        <v>297693855</v>
      </c>
      <c r="H46" s="208">
        <f>'2.sz.m.összehasonlító'!E27</f>
        <v>297693855</v>
      </c>
      <c r="I46" s="208">
        <f>'2.sz.m.összehasonlító'!F27</f>
        <v>297693855</v>
      </c>
      <c r="J46" s="208"/>
      <c r="K46" s="208">
        <f>'2.sz.m.összehasonlító'!B27</f>
        <v>297693855</v>
      </c>
      <c r="L46" s="208">
        <f>'2.sz.m.összehasonlító'!C27</f>
        <v>297693855</v>
      </c>
      <c r="M46" s="208">
        <f>'2.sz.m.összehasonlító'!D27</f>
        <v>297693855</v>
      </c>
      <c r="N46" s="208">
        <f>'2.sz.m.összehasonlító'!E27</f>
        <v>297693855</v>
      </c>
      <c r="O46" s="208">
        <f>'2.sz.m.összehasonlító'!F27</f>
        <v>297693855</v>
      </c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</row>
    <row r="47" spans="1:30" ht="27.75" customHeight="1" thickBot="1">
      <c r="A47" s="191" t="s">
        <v>10</v>
      </c>
      <c r="B47" s="1423" t="s">
        <v>695</v>
      </c>
      <c r="C47" s="1424"/>
      <c r="D47" s="1425"/>
      <c r="E47" s="206">
        <f aca="true" t="shared" si="14" ref="E47:L47">E45+E46</f>
        <v>323808786</v>
      </c>
      <c r="F47" s="206">
        <f t="shared" si="14"/>
        <v>323808786</v>
      </c>
      <c r="G47" s="206">
        <f>G45+G46</f>
        <v>323475396</v>
      </c>
      <c r="H47" s="206">
        <f>H45+H46</f>
        <v>323475396</v>
      </c>
      <c r="I47" s="206">
        <f>I45+I46</f>
        <v>323475396</v>
      </c>
      <c r="J47" s="206"/>
      <c r="K47" s="206">
        <f t="shared" si="14"/>
        <v>323808786</v>
      </c>
      <c r="L47" s="206">
        <f t="shared" si="14"/>
        <v>323808786</v>
      </c>
      <c r="M47" s="206">
        <f>M45+M46</f>
        <v>323475396</v>
      </c>
      <c r="N47" s="206">
        <f aca="true" t="shared" si="15" ref="N47:AC47">N45+N46</f>
        <v>323475396</v>
      </c>
      <c r="O47" s="206">
        <f>O45+O46</f>
        <v>323475396</v>
      </c>
      <c r="P47" s="206"/>
      <c r="Q47" s="206">
        <f t="shared" si="15"/>
        <v>3.091425228520317E-09</v>
      </c>
      <c r="R47" s="206">
        <f t="shared" si="15"/>
        <v>0</v>
      </c>
      <c r="S47" s="206">
        <f t="shared" si="15"/>
        <v>0</v>
      </c>
      <c r="T47" s="206">
        <f t="shared" si="15"/>
        <v>0</v>
      </c>
      <c r="U47" s="206">
        <f t="shared" si="15"/>
        <v>0</v>
      </c>
      <c r="V47" s="206">
        <f t="shared" si="15"/>
        <v>0</v>
      </c>
      <c r="W47" s="206">
        <f t="shared" si="15"/>
        <v>0</v>
      </c>
      <c r="X47" s="206">
        <f t="shared" si="15"/>
        <v>0</v>
      </c>
      <c r="Y47" s="206">
        <f t="shared" si="15"/>
        <v>0</v>
      </c>
      <c r="Z47" s="206">
        <f t="shared" si="15"/>
        <v>0</v>
      </c>
      <c r="AA47" s="206">
        <f t="shared" si="15"/>
        <v>0</v>
      </c>
      <c r="AB47" s="206">
        <f t="shared" si="15"/>
        <v>0</v>
      </c>
      <c r="AC47" s="206">
        <f t="shared" si="15"/>
        <v>0</v>
      </c>
      <c r="AD47" s="206">
        <f>AD45+AD46</f>
        <v>0</v>
      </c>
    </row>
    <row r="48" spans="3:24" ht="15.75">
      <c r="C48" s="180"/>
      <c r="D48" s="181"/>
      <c r="E48" s="182"/>
      <c r="F48" s="182"/>
      <c r="G48" s="182"/>
      <c r="H48" s="182"/>
      <c r="I48" s="182"/>
      <c r="J48" s="182"/>
      <c r="K48" s="176"/>
      <c r="L48" s="176"/>
      <c r="M48" s="176"/>
      <c r="N48" s="176"/>
      <c r="O48" s="176"/>
      <c r="P48" s="176"/>
      <c r="Q48" s="176"/>
      <c r="R48" s="177"/>
      <c r="S48" s="177"/>
      <c r="T48" s="177"/>
      <c r="U48" s="177"/>
      <c r="V48" s="177"/>
      <c r="W48" s="177"/>
      <c r="X48" s="1"/>
    </row>
    <row r="49" spans="3:23" ht="15.75" customHeight="1">
      <c r="C49" s="1417" t="s">
        <v>157</v>
      </c>
      <c r="D49" s="1417"/>
      <c r="E49" s="1417"/>
      <c r="F49" s="1417"/>
      <c r="G49" s="1417"/>
      <c r="H49" s="1417"/>
      <c r="I49" s="1417"/>
      <c r="J49" s="1417"/>
      <c r="K49" s="1417"/>
      <c r="L49" s="1417"/>
      <c r="M49" s="1417"/>
      <c r="N49" s="1417"/>
      <c r="O49" s="1417"/>
      <c r="P49" s="1417"/>
      <c r="Q49" s="1417"/>
      <c r="R49" s="1417"/>
      <c r="S49" s="183"/>
      <c r="T49" s="183"/>
      <c r="U49" s="183"/>
      <c r="V49" s="183"/>
      <c r="W49" s="183"/>
    </row>
    <row r="50" spans="1:23" ht="16.5" thickBot="1">
      <c r="A50" s="193" t="s">
        <v>158</v>
      </c>
      <c r="B50" s="193"/>
      <c r="C50" s="1399"/>
      <c r="D50" s="1399"/>
      <c r="E50" s="175"/>
      <c r="F50" s="175"/>
      <c r="G50" s="175"/>
      <c r="H50" s="175"/>
      <c r="I50" s="175"/>
      <c r="J50" s="175"/>
      <c r="K50" s="176"/>
      <c r="L50" s="176"/>
      <c r="M50" s="176"/>
      <c r="N50" s="176"/>
      <c r="O50" s="176"/>
      <c r="P50" s="176"/>
      <c r="Q50" s="176"/>
      <c r="R50" s="177">
        <v>0</v>
      </c>
      <c r="S50" s="177"/>
      <c r="T50" s="177"/>
      <c r="U50" s="177"/>
      <c r="V50" s="177"/>
      <c r="W50" s="177"/>
    </row>
    <row r="51" spans="1:31" ht="27.75" customHeight="1">
      <c r="A51" s="189" t="s">
        <v>27</v>
      </c>
      <c r="B51" s="1391" t="s">
        <v>696</v>
      </c>
      <c r="C51" s="1392"/>
      <c r="D51" s="1393"/>
      <c r="E51" s="194">
        <v>0</v>
      </c>
      <c r="F51" s="194">
        <v>0</v>
      </c>
      <c r="G51" s="194">
        <v>0</v>
      </c>
      <c r="H51" s="194">
        <v>0</v>
      </c>
      <c r="I51" s="194">
        <v>0</v>
      </c>
      <c r="J51" s="194"/>
      <c r="K51" s="194">
        <v>0</v>
      </c>
      <c r="L51" s="194">
        <v>0</v>
      </c>
      <c r="M51" s="194">
        <v>0</v>
      </c>
      <c r="N51" s="194">
        <v>0</v>
      </c>
      <c r="O51" s="194">
        <v>0</v>
      </c>
      <c r="P51" s="194">
        <v>0</v>
      </c>
      <c r="Q51" s="194">
        <v>0</v>
      </c>
      <c r="R51" s="194">
        <v>0</v>
      </c>
      <c r="S51" s="194">
        <v>0</v>
      </c>
      <c r="T51" s="194">
        <v>0</v>
      </c>
      <c r="U51" s="194">
        <v>0</v>
      </c>
      <c r="V51" s="194">
        <v>0</v>
      </c>
      <c r="W51" s="194">
        <v>0</v>
      </c>
      <c r="X51" s="194">
        <v>0</v>
      </c>
      <c r="Y51" s="194">
        <v>0</v>
      </c>
      <c r="Z51" s="194">
        <v>0</v>
      </c>
      <c r="AA51" s="194">
        <v>0</v>
      </c>
      <c r="AB51" s="194">
        <v>0</v>
      </c>
      <c r="AC51" s="194">
        <v>0</v>
      </c>
      <c r="AD51" s="194">
        <v>0</v>
      </c>
      <c r="AE51" s="194">
        <v>0</v>
      </c>
    </row>
    <row r="52" spans="1:31" ht="27.75" customHeight="1">
      <c r="A52" s="190" t="s">
        <v>28</v>
      </c>
      <c r="B52" s="1408" t="s">
        <v>697</v>
      </c>
      <c r="C52" s="1409"/>
      <c r="D52" s="1410"/>
      <c r="E52" s="195">
        <f>'1.sz.m-önk.össze.bev'!E59</f>
        <v>0</v>
      </c>
      <c r="F52" s="195">
        <f>'1.sz.m-önk.össze.bev'!F59</f>
        <v>0</v>
      </c>
      <c r="G52" s="195">
        <f>'1.sz.m-önk.össze.bev'!G59</f>
        <v>0</v>
      </c>
      <c r="H52" s="195"/>
      <c r="I52" s="195"/>
      <c r="J52" s="195"/>
      <c r="K52" s="195">
        <f>'1.sz.m-önk.össze.bev'!K59</f>
        <v>0</v>
      </c>
      <c r="L52" s="195">
        <f>'1.sz.m-önk.össze.bev'!L59</f>
        <v>0</v>
      </c>
      <c r="M52" s="195">
        <f>'1.sz.m-önk.össze.bev'!M59</f>
        <v>0</v>
      </c>
      <c r="N52" s="195"/>
      <c r="O52" s="195"/>
      <c r="P52" s="195"/>
      <c r="Q52" s="195">
        <f>'1.sz.m-önk.össze.bev'!Q59</f>
        <v>9.696916099469801E-08</v>
      </c>
      <c r="R52" s="195">
        <f>'1.sz.m-önk.össze.bev'!R59</f>
        <v>0</v>
      </c>
      <c r="S52" s="195">
        <f>'1.sz.m-önk.össze.bev'!S59</f>
        <v>0</v>
      </c>
      <c r="T52" s="195">
        <f>'1.sz.m-önk.össze.bev'!T59</f>
        <v>0</v>
      </c>
      <c r="U52" s="195">
        <f>'1.sz.m-önk.össze.bev'!U59</f>
        <v>0</v>
      </c>
      <c r="V52" s="195">
        <f>'1.sz.m-önk.össze.bev'!V59</f>
        <v>0</v>
      </c>
      <c r="W52" s="195">
        <f>'1.sz.m-önk.össze.bev'!W59</f>
        <v>0</v>
      </c>
      <c r="X52" s="195">
        <f>'1.sz.m-önk.össze.bev'!X59</f>
        <v>0</v>
      </c>
      <c r="Y52" s="195">
        <f>'1.sz.m-önk.össze.bev'!Y59</f>
        <v>0</v>
      </c>
      <c r="Z52" s="195">
        <f>'1.sz.m-önk.össze.bev'!Z59</f>
        <v>0</v>
      </c>
      <c r="AA52" s="195">
        <f>'1.sz.m-önk.össze.bev'!AA59</f>
        <v>0</v>
      </c>
      <c r="AB52" s="195">
        <f>'1.sz.m-önk.össze.bev'!AB59</f>
        <v>0</v>
      </c>
      <c r="AC52" s="195">
        <f>'1.sz.m-önk.össze.bev'!AC59</f>
        <v>0</v>
      </c>
      <c r="AD52" s="195">
        <f>'1.sz.m-önk.össze.bev'!AD59</f>
        <v>0</v>
      </c>
      <c r="AE52" s="195">
        <f>'1.sz.m-önk.össze.bev'!AE59</f>
        <v>0</v>
      </c>
    </row>
    <row r="53" spans="1:31" ht="27.75" customHeight="1" thickBot="1">
      <c r="A53" s="191" t="s">
        <v>10</v>
      </c>
      <c r="B53" s="1411" t="s">
        <v>698</v>
      </c>
      <c r="C53" s="1412"/>
      <c r="D53" s="1413"/>
      <c r="E53" s="196">
        <f>E51+E52</f>
        <v>0</v>
      </c>
      <c r="F53" s="196">
        <f>F51+F52</f>
        <v>0</v>
      </c>
      <c r="G53" s="196">
        <f>G51+G52</f>
        <v>0</v>
      </c>
      <c r="H53" s="196">
        <f>H51+H52</f>
        <v>0</v>
      </c>
      <c r="I53" s="196">
        <f>I51+I52</f>
        <v>0</v>
      </c>
      <c r="J53" s="196"/>
      <c r="K53" s="196">
        <f aca="true" t="shared" si="16" ref="K53:AE53">K51+K52</f>
        <v>0</v>
      </c>
      <c r="L53" s="196">
        <f t="shared" si="16"/>
        <v>0</v>
      </c>
      <c r="M53" s="196">
        <f t="shared" si="16"/>
        <v>0</v>
      </c>
      <c r="N53" s="196">
        <f t="shared" si="16"/>
        <v>0</v>
      </c>
      <c r="O53" s="196">
        <f>O51+O52</f>
        <v>0</v>
      </c>
      <c r="P53" s="196">
        <f>P51+P52</f>
        <v>0</v>
      </c>
      <c r="Q53" s="196">
        <f t="shared" si="16"/>
        <v>9.696916099469801E-08</v>
      </c>
      <c r="R53" s="196">
        <f t="shared" si="16"/>
        <v>0</v>
      </c>
      <c r="S53" s="196">
        <f t="shared" si="16"/>
        <v>0</v>
      </c>
      <c r="T53" s="196">
        <f t="shared" si="16"/>
        <v>0</v>
      </c>
      <c r="U53" s="196">
        <f t="shared" si="16"/>
        <v>0</v>
      </c>
      <c r="V53" s="196">
        <f t="shared" si="16"/>
        <v>0</v>
      </c>
      <c r="W53" s="196">
        <f t="shared" si="16"/>
        <v>0</v>
      </c>
      <c r="X53" s="196">
        <f t="shared" si="16"/>
        <v>0</v>
      </c>
      <c r="Y53" s="196">
        <f t="shared" si="16"/>
        <v>0</v>
      </c>
      <c r="Z53" s="196">
        <f t="shared" si="16"/>
        <v>0</v>
      </c>
      <c r="AA53" s="196">
        <f t="shared" si="16"/>
        <v>0</v>
      </c>
      <c r="AB53" s="196">
        <f t="shared" si="16"/>
        <v>0</v>
      </c>
      <c r="AC53" s="196">
        <f t="shared" si="16"/>
        <v>0</v>
      </c>
      <c r="AD53" s="196">
        <f t="shared" si="16"/>
        <v>0</v>
      </c>
      <c r="AE53" s="196">
        <f t="shared" si="16"/>
        <v>0</v>
      </c>
    </row>
    <row r="54" spans="3:28" ht="15.75">
      <c r="C54" s="180"/>
      <c r="D54" s="181"/>
      <c r="E54" s="182"/>
      <c r="F54" s="182"/>
      <c r="G54" s="182"/>
      <c r="H54" s="182"/>
      <c r="I54" s="182"/>
      <c r="J54" s="182"/>
      <c r="K54" s="176"/>
      <c r="L54" s="176"/>
      <c r="M54" s="176"/>
      <c r="N54" s="176"/>
      <c r="O54" s="176"/>
      <c r="P54" s="176"/>
      <c r="Q54" s="176"/>
      <c r="R54" s="177"/>
      <c r="S54" s="177"/>
      <c r="T54" s="177"/>
      <c r="U54" s="177"/>
      <c r="V54" s="177"/>
      <c r="W54" s="177"/>
      <c r="AB54" s="37"/>
    </row>
    <row r="55" spans="3:23" ht="15.75" customHeight="1">
      <c r="C55" s="1417" t="s">
        <v>55</v>
      </c>
      <c r="D55" s="1417"/>
      <c r="E55" s="1417"/>
      <c r="F55" s="1417"/>
      <c r="G55" s="1417"/>
      <c r="H55" s="1417"/>
      <c r="I55" s="1417"/>
      <c r="J55" s="1417"/>
      <c r="K55" s="1417"/>
      <c r="L55" s="1417"/>
      <c r="M55" s="1417"/>
      <c r="N55" s="1417"/>
      <c r="O55" s="1417"/>
      <c r="P55" s="1417"/>
      <c r="Q55" s="1417"/>
      <c r="R55" s="1417"/>
      <c r="S55" s="183"/>
      <c r="T55" s="183"/>
      <c r="U55" s="183"/>
      <c r="V55" s="183"/>
      <c r="W55" s="183"/>
    </row>
    <row r="56" spans="3:23" ht="15.75">
      <c r="C56" s="183"/>
      <c r="D56" s="183"/>
      <c r="E56" s="183"/>
      <c r="F56" s="183"/>
      <c r="G56" s="183"/>
      <c r="H56" s="183"/>
      <c r="I56" s="183"/>
      <c r="J56" s="183"/>
      <c r="K56" s="176"/>
      <c r="L56" s="176"/>
      <c r="M56" s="176"/>
      <c r="N56" s="176"/>
      <c r="O56" s="176"/>
      <c r="P56" s="176"/>
      <c r="Q56" s="176"/>
      <c r="R56" s="184"/>
      <c r="S56" s="184"/>
      <c r="T56" s="184"/>
      <c r="U56" s="184"/>
      <c r="V56" s="184"/>
      <c r="W56" s="184"/>
    </row>
    <row r="57" spans="1:23" ht="16.5" thickBot="1">
      <c r="A57" s="193" t="s">
        <v>195</v>
      </c>
      <c r="C57" s="1418"/>
      <c r="D57" s="1418"/>
      <c r="E57" s="183"/>
      <c r="F57" s="183"/>
      <c r="G57" s="183"/>
      <c r="H57" s="183"/>
      <c r="I57" s="183"/>
      <c r="J57" s="183"/>
      <c r="K57" s="176"/>
      <c r="L57" s="176"/>
      <c r="M57" s="176"/>
      <c r="N57" s="176"/>
      <c r="O57" s="176"/>
      <c r="P57" s="176"/>
      <c r="Q57" s="176"/>
      <c r="R57" s="184"/>
      <c r="S57" s="184"/>
      <c r="T57" s="184"/>
      <c r="U57" s="184"/>
      <c r="V57" s="184"/>
      <c r="W57" s="184"/>
    </row>
    <row r="58" spans="1:30" ht="27" customHeight="1">
      <c r="A58" s="200" t="s">
        <v>27</v>
      </c>
      <c r="B58" s="1414" t="s">
        <v>159</v>
      </c>
      <c r="C58" s="1414"/>
      <c r="D58" s="1414"/>
      <c r="E58" s="201">
        <f>E59-E62</f>
        <v>311020666</v>
      </c>
      <c r="F58" s="201">
        <f>F59-F62</f>
        <v>340520666</v>
      </c>
      <c r="G58" s="201">
        <f>G59-G62</f>
        <v>340187276</v>
      </c>
      <c r="H58" s="201">
        <f>H59-H62</f>
        <v>350499833</v>
      </c>
      <c r="I58" s="201">
        <f>I59-I62</f>
        <v>350499833</v>
      </c>
      <c r="J58" s="201"/>
      <c r="K58" s="201">
        <f aca="true" t="shared" si="17" ref="K58:AC58">K59-K62</f>
        <v>311020666</v>
      </c>
      <c r="L58" s="201">
        <f t="shared" si="17"/>
        <v>340520666</v>
      </c>
      <c r="M58" s="201">
        <f>M59-M62</f>
        <v>340187276</v>
      </c>
      <c r="N58" s="201">
        <f>N59-N62</f>
        <v>350499833</v>
      </c>
      <c r="O58" s="201">
        <f>O59-O62</f>
        <v>350499833</v>
      </c>
      <c r="P58" s="201">
        <f>P59-P62</f>
        <v>0</v>
      </c>
      <c r="Q58" s="201" t="e">
        <f t="shared" si="17"/>
        <v>#REF!</v>
      </c>
      <c r="R58" s="201">
        <f t="shared" si="17"/>
        <v>0</v>
      </c>
      <c r="S58" s="201">
        <f t="shared" si="17"/>
        <v>0</v>
      </c>
      <c r="T58" s="201">
        <f t="shared" si="17"/>
        <v>0</v>
      </c>
      <c r="U58" s="201">
        <f t="shared" si="17"/>
        <v>0</v>
      </c>
      <c r="V58" s="201">
        <f t="shared" si="17"/>
        <v>0</v>
      </c>
      <c r="W58" s="201">
        <f t="shared" si="17"/>
        <v>0</v>
      </c>
      <c r="X58" s="201">
        <f t="shared" si="17"/>
        <v>0</v>
      </c>
      <c r="Y58" s="201">
        <f t="shared" si="17"/>
        <v>0</v>
      </c>
      <c r="Z58" s="201">
        <f t="shared" si="17"/>
        <v>0</v>
      </c>
      <c r="AA58" s="201">
        <f t="shared" si="17"/>
        <v>0</v>
      </c>
      <c r="AB58" s="201">
        <f t="shared" si="17"/>
        <v>0</v>
      </c>
      <c r="AC58" s="201">
        <f t="shared" si="17"/>
        <v>0</v>
      </c>
      <c r="AD58" s="201">
        <f>AD59-AD62</f>
        <v>0</v>
      </c>
    </row>
    <row r="59" spans="1:30" ht="27" customHeight="1">
      <c r="A59" s="197" t="s">
        <v>160</v>
      </c>
      <c r="B59" s="1415" t="s">
        <v>451</v>
      </c>
      <c r="C59" s="1415"/>
      <c r="D59" s="1415"/>
      <c r="E59" s="202">
        <f>'1.sz.m-önk.össze.bev'!E58</f>
        <v>353308786</v>
      </c>
      <c r="F59" s="202">
        <f>'1.sz.m-önk.össze.bev'!F58</f>
        <v>353308786</v>
      </c>
      <c r="G59" s="202">
        <f>'1.sz.m-önk.össze.bev'!G58</f>
        <v>352975396</v>
      </c>
      <c r="H59" s="202">
        <f>'1.sz.m-önk.össze.bev'!H58</f>
        <v>363287953</v>
      </c>
      <c r="I59" s="202">
        <f>'1.sz.m-önk.össze.bev'!I58</f>
        <v>363287953</v>
      </c>
      <c r="J59" s="202"/>
      <c r="K59" s="202">
        <f>'1.sz.m-önk.össze.bev'!K58</f>
        <v>353308786</v>
      </c>
      <c r="L59" s="202">
        <f>'1.sz.m-önk.össze.bev'!L58</f>
        <v>353308786</v>
      </c>
      <c r="M59" s="202">
        <f>'1.sz.m-önk.össze.bev'!M58</f>
        <v>352975396</v>
      </c>
      <c r="N59" s="202">
        <f>'1.sz.m-önk.össze.bev'!N58</f>
        <v>363287953</v>
      </c>
      <c r="O59" s="202">
        <f>'1.sz.m-önk.össze.bev'!O58</f>
        <v>363287953</v>
      </c>
      <c r="P59" s="202">
        <f>'1.sz.m-önk.össze.bev'!P58</f>
        <v>1</v>
      </c>
      <c r="Q59" s="202">
        <f>'1.sz.m-önk.össze.bev'!Q58</f>
        <v>2.752637382390712E-09</v>
      </c>
      <c r="R59" s="202">
        <f>'1.sz.m-önk.össze.bev'!R58</f>
        <v>0</v>
      </c>
      <c r="S59" s="202">
        <f>'1.sz.m-önk.össze.bev'!S58</f>
        <v>0</v>
      </c>
      <c r="T59" s="202">
        <f>'1.sz.m-önk.össze.bev'!T58</f>
        <v>0</v>
      </c>
      <c r="U59" s="202">
        <f>'1.sz.m-önk.össze.bev'!U58</f>
        <v>0</v>
      </c>
      <c r="V59" s="202">
        <f>'1.sz.m-önk.össze.bev'!V58</f>
        <v>0</v>
      </c>
      <c r="W59" s="202">
        <f>'1.sz.m-önk.össze.bev'!W58</f>
        <v>0</v>
      </c>
      <c r="X59" s="202">
        <f>'1.sz.m-önk.össze.bev'!X58</f>
        <v>0</v>
      </c>
      <c r="Y59" s="202">
        <f>'1.sz.m-önk.össze.bev'!Y58</f>
        <v>0</v>
      </c>
      <c r="Z59" s="202">
        <f>'1.sz.m-önk.össze.bev'!Z58</f>
        <v>0</v>
      </c>
      <c r="AA59" s="202">
        <f>'1.sz.m-önk.össze.bev'!AA58</f>
        <v>0</v>
      </c>
      <c r="AB59" s="202">
        <f>'1.sz.m-önk.össze.bev'!AB58</f>
        <v>0</v>
      </c>
      <c r="AC59" s="202">
        <f>'1.sz.m-önk.össze.bev'!AC58</f>
        <v>0</v>
      </c>
      <c r="AD59" s="202">
        <f>'1.sz.m-önk.össze.bev'!AD58</f>
        <v>0</v>
      </c>
    </row>
    <row r="60" spans="1:30" ht="27" customHeight="1">
      <c r="A60" s="197" t="s">
        <v>161</v>
      </c>
      <c r="B60" s="1416" t="s">
        <v>199</v>
      </c>
      <c r="C60" s="1416"/>
      <c r="D60" s="1416"/>
      <c r="E60" s="202">
        <f>'1.sz.m-önk.össze.bev'!E61-'2.sz.m.összehasonlító'!B27+'1.sz.m-önk.össze.bev'!E60</f>
        <v>55614931</v>
      </c>
      <c r="F60" s="202">
        <f>'1.sz.m-önk.össze.bev'!F61-'2.sz.m.összehasonlító'!C27+'1.sz.m-önk.össze.bev'!F60</f>
        <v>55614931</v>
      </c>
      <c r="G60" s="202">
        <f>'1.sz.m-önk.össze.bev'!G61-'2.sz.m.összehasonlító'!D27+'1.sz.m-önk.össze.bev'!G60</f>
        <v>55281541</v>
      </c>
      <c r="H60" s="202">
        <f>+'2.sz.m.összehasonlító'!E18</f>
        <v>65594098</v>
      </c>
      <c r="I60" s="202">
        <f>+'2.sz.m.összehasonlító'!F18</f>
        <v>65594098</v>
      </c>
      <c r="J60" s="202"/>
      <c r="K60" s="202">
        <f>'1.sz.m-önk.össze.bev'!E61-'2.sz.m.összehasonlító'!B27+'1.sz.m-önk.össze.bev'!E60</f>
        <v>55614931</v>
      </c>
      <c r="L60" s="202">
        <f>'1.sz.m-önk.össze.bev'!F61-'2.sz.m.összehasonlító'!C27+'1.sz.m-önk.össze.bev'!F60</f>
        <v>55614931</v>
      </c>
      <c r="M60" s="202">
        <f>'1.sz.m-önk.össze.bev'!G61-'2.sz.m.összehasonlító'!D27+'1.sz.m-önk.össze.bev'!G60</f>
        <v>55281541</v>
      </c>
      <c r="N60" s="202">
        <f>+'2.sz.m.összehasonlító'!E18</f>
        <v>65594098</v>
      </c>
      <c r="O60" s="202">
        <f>+'2.sz.m.összehasonlító'!F18</f>
        <v>65594098</v>
      </c>
      <c r="P60" s="202">
        <f>'1.sz.m-önk.össze.bev'!P61</f>
        <v>1</v>
      </c>
      <c r="Q60" s="202">
        <f>'1.sz.m-önk.össze.bev'!Q61</f>
        <v>3.091425228520317E-09</v>
      </c>
      <c r="R60" s="202">
        <f>'1.sz.m-önk.össze.bev'!R61</f>
        <v>0</v>
      </c>
      <c r="S60" s="202">
        <f>'1.sz.m-önk.össze.bev'!S61</f>
        <v>0</v>
      </c>
      <c r="T60" s="202">
        <f>'1.sz.m-önk.össze.bev'!T61</f>
        <v>0</v>
      </c>
      <c r="U60" s="202">
        <f>'1.sz.m-önk.össze.bev'!U61</f>
        <v>0</v>
      </c>
      <c r="V60" s="202">
        <f>'1.sz.m-önk.össze.bev'!V61</f>
        <v>0</v>
      </c>
      <c r="W60" s="202">
        <f>'1.sz.m-önk.össze.bev'!W61</f>
        <v>0</v>
      </c>
      <c r="X60" s="202">
        <f>'1.sz.m-önk.össze.bev'!X61</f>
        <v>0</v>
      </c>
      <c r="Y60" s="202">
        <f>'1.sz.m-önk.össze.bev'!Y61</f>
        <v>0</v>
      </c>
      <c r="Z60" s="202">
        <f>'1.sz.m-önk.össze.bev'!Z61</f>
        <v>0</v>
      </c>
      <c r="AA60" s="202">
        <f>'1.sz.m-önk.össze.bev'!AA61</f>
        <v>0</v>
      </c>
      <c r="AB60" s="202">
        <f>'1.sz.m-önk.össze.bev'!AB61</f>
        <v>0</v>
      </c>
      <c r="AC60" s="202">
        <f>'1.sz.m-önk.össze.bev'!AC61</f>
        <v>0</v>
      </c>
      <c r="AD60" s="202">
        <f>'1.sz.m-önk.össze.bev'!AD61</f>
        <v>0</v>
      </c>
    </row>
    <row r="61" spans="1:30" ht="27" customHeight="1">
      <c r="A61" s="198" t="s">
        <v>162</v>
      </c>
      <c r="B61" s="1416" t="s">
        <v>200</v>
      </c>
      <c r="C61" s="1416"/>
      <c r="D61" s="1416"/>
      <c r="E61" s="202">
        <f>'1.sz.m-önk.össze.bev'!E59+'2.sz.m.összehasonlító'!B27</f>
        <v>297693855</v>
      </c>
      <c r="F61" s="202">
        <f>'1.sz.m-önk.össze.bev'!F59+'2.sz.m.összehasonlító'!C27</f>
        <v>297693855</v>
      </c>
      <c r="G61" s="202">
        <f>'1.sz.m-önk.össze.bev'!G59+'2.sz.m.összehasonlító'!D27</f>
        <v>297693855</v>
      </c>
      <c r="H61" s="202">
        <f>'2.sz.m.összehasonlító'!E27+'2.sz.m.összehasonlító'!E28</f>
        <v>297693855</v>
      </c>
      <c r="I61" s="202">
        <f>'2.sz.m.összehasonlító'!F27+'2.sz.m.összehasonlító'!F28</f>
        <v>297693855</v>
      </c>
      <c r="J61" s="202"/>
      <c r="K61" s="202">
        <f>'1.sz.m-önk.össze.bev'!K59+'2.sz.m.összehasonlító'!B27</f>
        <v>297693855</v>
      </c>
      <c r="L61" s="202">
        <f>'1.sz.m-önk.össze.bev'!L59+'2.sz.m.összehasonlító'!C27</f>
        <v>297693855</v>
      </c>
      <c r="M61" s="202">
        <f>'1.sz.m-önk.össze.bev'!M59+'2.sz.m.összehasonlító'!D27</f>
        <v>297693855</v>
      </c>
      <c r="N61" s="202">
        <f>'2.sz.m.összehasonlító'!E27+'2.sz.m.összehasonlító'!E28</f>
        <v>297693855</v>
      </c>
      <c r="O61" s="202">
        <f>'2.sz.m.összehasonlító'!F27+'2.sz.m.összehasonlító'!F28</f>
        <v>297693855</v>
      </c>
      <c r="P61" s="202">
        <f>'1.sz.m-önk.össze.bev'!P59</f>
        <v>1</v>
      </c>
      <c r="Q61" s="202">
        <f>'1.sz.m-önk.össze.bev'!Q59</f>
        <v>9.696916099469801E-08</v>
      </c>
      <c r="R61" s="202">
        <f>'1.sz.m-önk.össze.bev'!R59</f>
        <v>0</v>
      </c>
      <c r="S61" s="202">
        <f>'1.sz.m-önk.össze.bev'!S59</f>
        <v>0</v>
      </c>
      <c r="T61" s="202">
        <f>'1.sz.m-önk.össze.bev'!T59</f>
        <v>0</v>
      </c>
      <c r="U61" s="202">
        <f>'1.sz.m-önk.össze.bev'!U59</f>
        <v>0</v>
      </c>
      <c r="V61" s="202">
        <f>'1.sz.m-önk.össze.bev'!V59</f>
        <v>0</v>
      </c>
      <c r="W61" s="202">
        <f>'1.sz.m-önk.össze.bev'!W59</f>
        <v>0</v>
      </c>
      <c r="X61" s="202">
        <f>'1.sz.m-önk.össze.bev'!X59</f>
        <v>0</v>
      </c>
      <c r="Y61" s="202">
        <f>'1.sz.m-önk.össze.bev'!Y59</f>
        <v>0</v>
      </c>
      <c r="Z61" s="202">
        <f>'1.sz.m-önk.össze.bev'!Z59</f>
        <v>0</v>
      </c>
      <c r="AA61" s="202">
        <f>'1.sz.m-önk.össze.bev'!AA59</f>
        <v>0</v>
      </c>
      <c r="AB61" s="202">
        <f>'1.sz.m-önk.össze.bev'!AB59</f>
        <v>0</v>
      </c>
      <c r="AC61" s="202">
        <f>'1.sz.m-önk.össze.bev'!AC59</f>
        <v>0</v>
      </c>
      <c r="AD61" s="202">
        <f>'1.sz.m-önk.össze.bev'!AD59</f>
        <v>0</v>
      </c>
    </row>
    <row r="62" spans="1:30" ht="27" customHeight="1">
      <c r="A62" s="199" t="s">
        <v>163</v>
      </c>
      <c r="B62" s="1415" t="s">
        <v>452</v>
      </c>
      <c r="C62" s="1415"/>
      <c r="D62" s="1415"/>
      <c r="E62" s="203">
        <f>E30</f>
        <v>42288120</v>
      </c>
      <c r="F62" s="203">
        <f>F30</f>
        <v>12788120</v>
      </c>
      <c r="G62" s="203">
        <f>G30</f>
        <v>12788120</v>
      </c>
      <c r="H62" s="203">
        <f>H30</f>
        <v>12788120</v>
      </c>
      <c r="I62" s="203">
        <f>I30</f>
        <v>12788120</v>
      </c>
      <c r="J62" s="203"/>
      <c r="K62" s="203">
        <f aca="true" t="shared" si="18" ref="K62:AC62">K30</f>
        <v>42288120</v>
      </c>
      <c r="L62" s="203">
        <f t="shared" si="18"/>
        <v>12788120</v>
      </c>
      <c r="M62" s="203">
        <f>M30</f>
        <v>12788120</v>
      </c>
      <c r="N62" s="203">
        <f>N30</f>
        <v>12788120</v>
      </c>
      <c r="O62" s="203">
        <f>O30</f>
        <v>12788120</v>
      </c>
      <c r="P62" s="203">
        <f>P30</f>
        <v>1</v>
      </c>
      <c r="Q62" s="203" t="e">
        <f t="shared" si="18"/>
        <v>#REF!</v>
      </c>
      <c r="R62" s="203">
        <f t="shared" si="18"/>
        <v>0</v>
      </c>
      <c r="S62" s="203">
        <f t="shared" si="18"/>
        <v>0</v>
      </c>
      <c r="T62" s="203">
        <f t="shared" si="18"/>
        <v>0</v>
      </c>
      <c r="U62" s="203">
        <f t="shared" si="18"/>
        <v>0</v>
      </c>
      <c r="V62" s="203">
        <f t="shared" si="18"/>
        <v>0</v>
      </c>
      <c r="W62" s="203">
        <f t="shared" si="18"/>
        <v>0</v>
      </c>
      <c r="X62" s="203">
        <f t="shared" si="18"/>
        <v>0</v>
      </c>
      <c r="Y62" s="203">
        <f t="shared" si="18"/>
        <v>0</v>
      </c>
      <c r="Z62" s="203">
        <f t="shared" si="18"/>
        <v>0</v>
      </c>
      <c r="AA62" s="203">
        <f t="shared" si="18"/>
        <v>0</v>
      </c>
      <c r="AB62" s="203">
        <f t="shared" si="18"/>
        <v>0</v>
      </c>
      <c r="AC62" s="203">
        <f t="shared" si="18"/>
        <v>0</v>
      </c>
      <c r="AD62" s="203">
        <f>AD30</f>
        <v>0</v>
      </c>
    </row>
    <row r="63" spans="1:30" ht="27" customHeight="1">
      <c r="A63" s="197" t="s">
        <v>164</v>
      </c>
      <c r="B63" s="1416" t="s">
        <v>201</v>
      </c>
      <c r="C63" s="1416"/>
      <c r="D63" s="1416"/>
      <c r="E63" s="202">
        <f>E33+E32</f>
        <v>39264380</v>
      </c>
      <c r="F63" s="202">
        <f>F33+F32</f>
        <v>9764380</v>
      </c>
      <c r="G63" s="202">
        <f>G33+G32</f>
        <v>9764380</v>
      </c>
      <c r="H63" s="202">
        <f>H33+H32</f>
        <v>9764380</v>
      </c>
      <c r="I63" s="202">
        <f>I33+I32</f>
        <v>9764380</v>
      </c>
      <c r="J63" s="202"/>
      <c r="K63" s="202">
        <f>K33+K32</f>
        <v>39264380</v>
      </c>
      <c r="L63" s="202">
        <f>L62</f>
        <v>12788120</v>
      </c>
      <c r="M63" s="202">
        <f>M62</f>
        <v>12788120</v>
      </c>
      <c r="N63" s="202">
        <f>N62</f>
        <v>12788120</v>
      </c>
      <c r="O63" s="202">
        <f>O62</f>
        <v>12788120</v>
      </c>
      <c r="P63" s="202">
        <f>P62</f>
        <v>1</v>
      </c>
      <c r="Q63" s="202">
        <v>0</v>
      </c>
      <c r="R63" s="202">
        <v>0</v>
      </c>
      <c r="S63" s="202">
        <v>0</v>
      </c>
      <c r="T63" s="202">
        <v>0</v>
      </c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202">
        <v>0</v>
      </c>
      <c r="AB63" s="202">
        <v>0</v>
      </c>
      <c r="AC63" s="202">
        <v>0</v>
      </c>
      <c r="AD63" s="202">
        <v>0</v>
      </c>
    </row>
    <row r="64" spans="1:30" ht="27" customHeight="1" thickBot="1">
      <c r="A64" s="204" t="s">
        <v>165</v>
      </c>
      <c r="B64" s="1407" t="s">
        <v>202</v>
      </c>
      <c r="C64" s="1407"/>
      <c r="D64" s="1407"/>
      <c r="E64" s="205">
        <f>E31</f>
        <v>3023740</v>
      </c>
      <c r="F64" s="205">
        <f>F31</f>
        <v>3023740</v>
      </c>
      <c r="G64" s="205">
        <f>G31</f>
        <v>3023740</v>
      </c>
      <c r="H64" s="205">
        <f>H31</f>
        <v>3023740</v>
      </c>
      <c r="I64" s="205">
        <f>I31</f>
        <v>3023740</v>
      </c>
      <c r="J64" s="205"/>
      <c r="K64" s="205">
        <f aca="true" t="shared" si="19" ref="K64:P64">K31</f>
        <v>3023740</v>
      </c>
      <c r="L64" s="205">
        <f t="shared" si="19"/>
        <v>3023740</v>
      </c>
      <c r="M64" s="205">
        <f t="shared" si="19"/>
        <v>3023740</v>
      </c>
      <c r="N64" s="205">
        <f t="shared" si="19"/>
        <v>3023740</v>
      </c>
      <c r="O64" s="205">
        <f t="shared" si="19"/>
        <v>3023740</v>
      </c>
      <c r="P64" s="205">
        <f t="shared" si="19"/>
        <v>1</v>
      </c>
      <c r="Q64" s="205">
        <v>0</v>
      </c>
      <c r="R64" s="205">
        <v>0</v>
      </c>
      <c r="S64" s="205">
        <v>0</v>
      </c>
      <c r="T64" s="205">
        <v>0</v>
      </c>
      <c r="U64" s="205">
        <v>0</v>
      </c>
      <c r="V64" s="205">
        <v>0</v>
      </c>
      <c r="W64" s="205">
        <v>0</v>
      </c>
      <c r="X64" s="205">
        <v>0</v>
      </c>
      <c r="Y64" s="205">
        <v>0</v>
      </c>
      <c r="Z64" s="205">
        <v>0</v>
      </c>
      <c r="AA64" s="205">
        <v>0</v>
      </c>
      <c r="AB64" s="205">
        <v>0</v>
      </c>
      <c r="AC64" s="205">
        <v>0</v>
      </c>
      <c r="AD64" s="205">
        <v>0</v>
      </c>
    </row>
  </sheetData>
  <sheetProtection/>
  <mergeCells count="40">
    <mergeCell ref="B63:D63"/>
    <mergeCell ref="C31:D31"/>
    <mergeCell ref="C49:R49"/>
    <mergeCell ref="A36:D36"/>
    <mergeCell ref="B41:D41"/>
    <mergeCell ref="C44:D44"/>
    <mergeCell ref="B46:D46"/>
    <mergeCell ref="B47:D47"/>
    <mergeCell ref="B45:D45"/>
    <mergeCell ref="C43:R43"/>
    <mergeCell ref="B64:D64"/>
    <mergeCell ref="B52:D52"/>
    <mergeCell ref="B53:D53"/>
    <mergeCell ref="B58:D58"/>
    <mergeCell ref="B59:D59"/>
    <mergeCell ref="B61:D61"/>
    <mergeCell ref="B60:D60"/>
    <mergeCell ref="C55:R55"/>
    <mergeCell ref="C57:D57"/>
    <mergeCell ref="B62:D62"/>
    <mergeCell ref="C39:R39"/>
    <mergeCell ref="C19:D19"/>
    <mergeCell ref="A1:X1"/>
    <mergeCell ref="A3:D3"/>
    <mergeCell ref="B5:D5"/>
    <mergeCell ref="X3:AD3"/>
    <mergeCell ref="B16:D16"/>
    <mergeCell ref="C26:D26"/>
    <mergeCell ref="C17:D17"/>
    <mergeCell ref="C18:D18"/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landscape" paperSize="9" scale="26" r:id="rId1"/>
  <headerFooter differentOddEven="1" alignWithMargins="0">
    <oddHeader xml:space="preserve">&amp;C&amp;"Algerian,Normál"&amp;16BELED VÁROS ÖNKORMÁNYZATA
2018. ÉVI KÖLTSÉGVETÉSÉNEK ÖSSZEVONT MÉRLEGE&amp;R&amp;"MS Sans Serif,Félkövér dőlt"1. számú melléklet </oddHeader>
    <oddFooter>&amp;C2. oldal</oddFooter>
    <evenHeader>&amp;R1. sz?m? mell?klet</evenHeader>
    <evenFooter>&amp;C3. oldal</evenFooter>
    <firstFooter>&amp;C2[Oldal]</firstFooter>
  </headerFooter>
  <colBreaks count="2" manualBreakCount="2">
    <brk id="27" max="65" man="1"/>
    <brk id="28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7"/>
  </sheetPr>
  <dimension ref="A1:F38"/>
  <sheetViews>
    <sheetView workbookViewId="0" topLeftCell="A4">
      <selection activeCell="H16" sqref="H16"/>
    </sheetView>
  </sheetViews>
  <sheetFormatPr defaultColWidth="10.7109375" defaultRowHeight="12.75"/>
  <cols>
    <col min="1" max="1" width="67.7109375" style="1147" customWidth="1"/>
    <col min="2" max="2" width="6.140625" style="1147" customWidth="1"/>
    <col min="3" max="3" width="11.7109375" style="1147" customWidth="1"/>
    <col min="4" max="4" width="17.28125" style="1147" customWidth="1"/>
    <col min="5" max="5" width="13.28125" style="1147" customWidth="1"/>
    <col min="6" max="16384" width="10.7109375" style="1104" customWidth="1"/>
  </cols>
  <sheetData>
    <row r="1" spans="1:6" ht="48" customHeight="1">
      <c r="A1" s="1551" t="s">
        <v>1456</v>
      </c>
      <c r="B1" s="1551"/>
      <c r="C1" s="1551"/>
      <c r="D1" s="1551"/>
      <c r="E1" s="1551"/>
      <c r="F1" s="1044"/>
    </row>
    <row r="2" spans="1:6" ht="16.5" thickBot="1">
      <c r="A2" s="1105" t="s">
        <v>882</v>
      </c>
      <c r="B2" s="1084"/>
      <c r="C2" s="1084"/>
      <c r="D2" s="1552" t="s">
        <v>883</v>
      </c>
      <c r="E2" s="1552"/>
      <c r="F2" s="1044"/>
    </row>
    <row r="3" spans="1:6" ht="43.5" customHeight="1" thickBot="1">
      <c r="A3" s="1106" t="s">
        <v>4</v>
      </c>
      <c r="B3" s="1107" t="s">
        <v>6</v>
      </c>
      <c r="C3" s="1108" t="s">
        <v>884</v>
      </c>
      <c r="D3" s="1109" t="s">
        <v>885</v>
      </c>
      <c r="E3" s="1110" t="s">
        <v>886</v>
      </c>
      <c r="F3" s="1044"/>
    </row>
    <row r="4" spans="1:6" ht="16.5" thickBot="1">
      <c r="A4" s="1111" t="s">
        <v>599</v>
      </c>
      <c r="B4" s="1112" t="s">
        <v>15</v>
      </c>
      <c r="C4" s="1112" t="s">
        <v>600</v>
      </c>
      <c r="D4" s="1113" t="s">
        <v>601</v>
      </c>
      <c r="E4" s="1114"/>
      <c r="F4" s="1044"/>
    </row>
    <row r="5" spans="1:6" ht="15.75" customHeight="1">
      <c r="A5" s="1115" t="s">
        <v>887</v>
      </c>
      <c r="B5" s="1116" t="s">
        <v>27</v>
      </c>
      <c r="C5" s="1117">
        <v>78</v>
      </c>
      <c r="D5" s="1118">
        <v>17452692</v>
      </c>
      <c r="E5" s="1119"/>
      <c r="F5" s="1044"/>
    </row>
    <row r="6" spans="1:6" ht="15.75" customHeight="1">
      <c r="A6" s="1115" t="s">
        <v>888</v>
      </c>
      <c r="B6" s="1120" t="s">
        <v>28</v>
      </c>
      <c r="C6" s="1121"/>
      <c r="D6" s="1122"/>
      <c r="E6" s="1123"/>
      <c r="F6" s="1044"/>
    </row>
    <row r="7" spans="1:6" ht="15.75" customHeight="1">
      <c r="A7" s="1115" t="s">
        <v>889</v>
      </c>
      <c r="B7" s="1124" t="s">
        <v>10</v>
      </c>
      <c r="C7" s="1121">
        <v>10</v>
      </c>
      <c r="D7" s="1122">
        <v>634895</v>
      </c>
      <c r="E7" s="1123"/>
      <c r="F7" s="1044"/>
    </row>
    <row r="8" spans="1:6" ht="15.75" customHeight="1" thickBot="1">
      <c r="A8" s="1125" t="s">
        <v>890</v>
      </c>
      <c r="B8" s="1126" t="s">
        <v>11</v>
      </c>
      <c r="C8" s="1127"/>
      <c r="D8" s="1128"/>
      <c r="E8" s="1129"/>
      <c r="F8" s="1044"/>
    </row>
    <row r="9" spans="1:6" ht="15.75" customHeight="1" thickBot="1">
      <c r="A9" s="1130" t="s">
        <v>891</v>
      </c>
      <c r="B9" s="1131" t="s">
        <v>12</v>
      </c>
      <c r="C9" s="1132"/>
      <c r="D9" s="1148"/>
      <c r="E9" s="1133">
        <f>SUM(E5:E8)</f>
        <v>0</v>
      </c>
      <c r="F9" s="1044"/>
    </row>
    <row r="10" spans="1:6" ht="15.75" customHeight="1">
      <c r="A10" s="1134" t="s">
        <v>892</v>
      </c>
      <c r="B10" s="1116" t="s">
        <v>13</v>
      </c>
      <c r="C10" s="1117"/>
      <c r="D10" s="1135"/>
      <c r="E10" s="1119"/>
      <c r="F10" s="1044"/>
    </row>
    <row r="11" spans="1:6" ht="15.75" customHeight="1">
      <c r="A11" s="1115" t="s">
        <v>893</v>
      </c>
      <c r="B11" s="1136" t="s">
        <v>14</v>
      </c>
      <c r="C11" s="1121"/>
      <c r="D11" s="1122"/>
      <c r="E11" s="1137"/>
      <c r="F11" s="1044"/>
    </row>
    <row r="12" spans="1:6" ht="15.75" customHeight="1">
      <c r="A12" s="1115" t="s">
        <v>894</v>
      </c>
      <c r="B12" s="1136" t="s">
        <v>57</v>
      </c>
      <c r="C12" s="1121"/>
      <c r="D12" s="1122"/>
      <c r="E12" s="1137"/>
      <c r="F12" s="1044"/>
    </row>
    <row r="13" spans="1:6" ht="15.75" customHeight="1" thickBot="1">
      <c r="A13" s="1125" t="s">
        <v>895</v>
      </c>
      <c r="B13" s="1126" t="s">
        <v>58</v>
      </c>
      <c r="C13" s="1127"/>
      <c r="D13" s="1128"/>
      <c r="E13" s="1138"/>
      <c r="F13" s="1044"/>
    </row>
    <row r="14" spans="1:6" ht="15.75" customHeight="1" thickBot="1">
      <c r="A14" s="1130" t="s">
        <v>896</v>
      </c>
      <c r="B14" s="1139" t="s">
        <v>403</v>
      </c>
      <c r="C14" s="1140"/>
      <c r="D14" s="1141">
        <f>+D15+D16+D17</f>
        <v>0</v>
      </c>
      <c r="E14" s="1114"/>
      <c r="F14" s="1044"/>
    </row>
    <row r="15" spans="1:6" ht="15.75" customHeight="1">
      <c r="A15" s="1134" t="s">
        <v>897</v>
      </c>
      <c r="B15" s="1116" t="s">
        <v>405</v>
      </c>
      <c r="C15" s="1117"/>
      <c r="D15" s="1135"/>
      <c r="E15" s="1142"/>
      <c r="F15" s="1044"/>
    </row>
    <row r="16" spans="1:6" ht="15.75" customHeight="1">
      <c r="A16" s="1115" t="s">
        <v>898</v>
      </c>
      <c r="B16" s="1136" t="s">
        <v>406</v>
      </c>
      <c r="C16" s="1121"/>
      <c r="D16" s="1122"/>
      <c r="E16" s="1137"/>
      <c r="F16" s="1044"/>
    </row>
    <row r="17" spans="1:6" ht="15.75" customHeight="1" thickBot="1">
      <c r="A17" s="1125" t="s">
        <v>899</v>
      </c>
      <c r="B17" s="1126" t="s">
        <v>407</v>
      </c>
      <c r="C17" s="1127"/>
      <c r="D17" s="1128"/>
      <c r="E17" s="1138"/>
      <c r="F17" s="1044"/>
    </row>
    <row r="18" spans="1:6" ht="15.75" customHeight="1" thickBot="1">
      <c r="A18" s="1130" t="s">
        <v>900</v>
      </c>
      <c r="B18" s="1139" t="s">
        <v>408</v>
      </c>
      <c r="C18" s="1140"/>
      <c r="D18" s="1141">
        <f>+D19+D20+D21</f>
        <v>0</v>
      </c>
      <c r="E18" s="1114"/>
      <c r="F18" s="1044"/>
    </row>
    <row r="19" spans="1:6" ht="15.75" customHeight="1">
      <c r="A19" s="1134" t="s">
        <v>901</v>
      </c>
      <c r="B19" s="1116" t="s">
        <v>409</v>
      </c>
      <c r="C19" s="1117"/>
      <c r="D19" s="1135"/>
      <c r="E19" s="1142"/>
      <c r="F19" s="1044"/>
    </row>
    <row r="20" spans="1:6" ht="15.75" customHeight="1">
      <c r="A20" s="1115" t="s">
        <v>902</v>
      </c>
      <c r="B20" s="1136" t="s">
        <v>616</v>
      </c>
      <c r="C20" s="1121"/>
      <c r="D20" s="1122"/>
      <c r="E20" s="1137"/>
      <c r="F20" s="1044"/>
    </row>
    <row r="21" spans="1:6" ht="15.75" customHeight="1">
      <c r="A21" s="1115" t="s">
        <v>903</v>
      </c>
      <c r="B21" s="1136" t="s">
        <v>617</v>
      </c>
      <c r="C21" s="1121"/>
      <c r="D21" s="1122"/>
      <c r="E21" s="1137"/>
      <c r="F21" s="1044"/>
    </row>
    <row r="22" spans="1:6" ht="15.75" customHeight="1">
      <c r="A22" s="1115" t="s">
        <v>904</v>
      </c>
      <c r="B22" s="1136" t="s">
        <v>619</v>
      </c>
      <c r="C22" s="1121"/>
      <c r="D22" s="1122"/>
      <c r="E22" s="1137"/>
      <c r="F22" s="1044"/>
    </row>
    <row r="23" spans="1:6" ht="15.75" customHeight="1">
      <c r="A23" s="1115"/>
      <c r="B23" s="1136" t="s">
        <v>620</v>
      </c>
      <c r="C23" s="1121"/>
      <c r="D23" s="1122"/>
      <c r="E23" s="1137"/>
      <c r="F23" s="1044"/>
    </row>
    <row r="24" spans="1:6" ht="15.75" customHeight="1">
      <c r="A24" s="1115"/>
      <c r="B24" s="1136" t="s">
        <v>627</v>
      </c>
      <c r="C24" s="1121"/>
      <c r="D24" s="1122"/>
      <c r="E24" s="1137"/>
      <c r="F24" s="1044"/>
    </row>
    <row r="25" spans="1:6" ht="15.75" customHeight="1">
      <c r="A25" s="1115"/>
      <c r="B25" s="1136" t="s">
        <v>773</v>
      </c>
      <c r="C25" s="1121"/>
      <c r="D25" s="1122"/>
      <c r="E25" s="1137"/>
      <c r="F25" s="1044"/>
    </row>
    <row r="26" spans="1:6" ht="15.75" customHeight="1">
      <c r="A26" s="1115"/>
      <c r="B26" s="1136" t="s">
        <v>775</v>
      </c>
      <c r="C26" s="1121"/>
      <c r="D26" s="1122"/>
      <c r="E26" s="1137"/>
      <c r="F26" s="1044"/>
    </row>
    <row r="27" spans="1:6" ht="15.75" customHeight="1">
      <c r="A27" s="1115"/>
      <c r="B27" s="1136" t="s">
        <v>777</v>
      </c>
      <c r="C27" s="1121"/>
      <c r="D27" s="1122"/>
      <c r="E27" s="1137"/>
      <c r="F27" s="1044"/>
    </row>
    <row r="28" spans="1:6" ht="15.75" customHeight="1">
      <c r="A28" s="1115"/>
      <c r="B28" s="1136" t="s">
        <v>779</v>
      </c>
      <c r="C28" s="1121"/>
      <c r="D28" s="1122"/>
      <c r="E28" s="1137"/>
      <c r="F28" s="1044"/>
    </row>
    <row r="29" spans="1:6" ht="15.75" customHeight="1">
      <c r="A29" s="1115"/>
      <c r="B29" s="1136" t="s">
        <v>781</v>
      </c>
      <c r="C29" s="1121"/>
      <c r="D29" s="1122"/>
      <c r="E29" s="1137"/>
      <c r="F29" s="1044"/>
    </row>
    <row r="30" spans="1:6" ht="15.75" customHeight="1">
      <c r="A30" s="1115"/>
      <c r="B30" s="1136" t="s">
        <v>783</v>
      </c>
      <c r="C30" s="1121"/>
      <c r="D30" s="1122"/>
      <c r="E30" s="1137"/>
      <c r="F30" s="1044"/>
    </row>
    <row r="31" spans="1:6" ht="15.75" customHeight="1">
      <c r="A31" s="1115"/>
      <c r="B31" s="1136" t="s">
        <v>785</v>
      </c>
      <c r="C31" s="1121"/>
      <c r="D31" s="1122"/>
      <c r="E31" s="1137"/>
      <c r="F31" s="1044"/>
    </row>
    <row r="32" spans="1:6" ht="15.75" customHeight="1">
      <c r="A32" s="1115"/>
      <c r="B32" s="1136" t="s">
        <v>787</v>
      </c>
      <c r="C32" s="1121"/>
      <c r="D32" s="1122"/>
      <c r="E32" s="1137"/>
      <c r="F32" s="1044"/>
    </row>
    <row r="33" spans="1:6" ht="15.75" customHeight="1">
      <c r="A33" s="1115"/>
      <c r="B33" s="1136" t="s">
        <v>789</v>
      </c>
      <c r="C33" s="1121"/>
      <c r="D33" s="1122"/>
      <c r="E33" s="1137"/>
      <c r="F33" s="1044"/>
    </row>
    <row r="34" spans="1:6" ht="15.75" customHeight="1">
      <c r="A34" s="1115"/>
      <c r="B34" s="1136" t="s">
        <v>791</v>
      </c>
      <c r="C34" s="1121"/>
      <c r="D34" s="1122"/>
      <c r="E34" s="1137"/>
      <c r="F34" s="1044"/>
    </row>
    <row r="35" spans="1:6" ht="15.75" customHeight="1">
      <c r="A35" s="1115"/>
      <c r="B35" s="1136" t="s">
        <v>793</v>
      </c>
      <c r="C35" s="1121"/>
      <c r="D35" s="1122"/>
      <c r="E35" s="1137"/>
      <c r="F35" s="1044"/>
    </row>
    <row r="36" spans="1:6" ht="15.75" customHeight="1">
      <c r="A36" s="1115"/>
      <c r="B36" s="1136" t="s">
        <v>795</v>
      </c>
      <c r="C36" s="1121"/>
      <c r="D36" s="1122"/>
      <c r="E36" s="1137"/>
      <c r="F36" s="1044"/>
    </row>
    <row r="37" spans="1:6" ht="15.75" customHeight="1" thickBot="1">
      <c r="A37" s="1125"/>
      <c r="B37" s="1126" t="s">
        <v>797</v>
      </c>
      <c r="C37" s="1127"/>
      <c r="D37" s="1128"/>
      <c r="E37" s="1138"/>
      <c r="F37" s="1044"/>
    </row>
    <row r="38" spans="1:6" ht="15.75" customHeight="1" thickBot="1">
      <c r="A38" s="1553" t="s">
        <v>905</v>
      </c>
      <c r="B38" s="1553"/>
      <c r="C38" s="1143"/>
      <c r="D38" s="1144">
        <f>SUM(D5:D8)</f>
        <v>18087587</v>
      </c>
      <c r="E38" s="1145">
        <f>E9+E14+E18+E19+E20+E21+E22</f>
        <v>0</v>
      </c>
      <c r="F38" s="1146"/>
    </row>
  </sheetData>
  <sheetProtection selectLockedCells="1" selectUnlockedCells="1"/>
  <mergeCells count="3">
    <mergeCell ref="A1:E1"/>
    <mergeCell ref="D2:E2"/>
    <mergeCell ref="A38:B3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&amp;R13.e.számú melléklet</oddHeader>
    <oddFooter>&amp;C&amp;"Times New Roman,Normál"&amp;12Oldal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7"/>
  </sheetPr>
  <dimension ref="A1:F38"/>
  <sheetViews>
    <sheetView workbookViewId="0" topLeftCell="A1">
      <selection activeCell="E38" sqref="C3:E38"/>
    </sheetView>
  </sheetViews>
  <sheetFormatPr defaultColWidth="10.7109375" defaultRowHeight="12.75"/>
  <cols>
    <col min="1" max="1" width="67.7109375" style="1147" customWidth="1"/>
    <col min="2" max="2" width="11.421875" style="1147" customWidth="1"/>
    <col min="3" max="3" width="12.7109375" style="1147" customWidth="1"/>
    <col min="4" max="4" width="15.28125" style="1147" customWidth="1"/>
    <col min="5" max="5" width="18.57421875" style="1147" customWidth="1"/>
    <col min="6" max="16384" width="10.7109375" style="1104" customWidth="1"/>
  </cols>
  <sheetData>
    <row r="1" spans="1:6" ht="48" customHeight="1">
      <c r="A1" s="1551" t="s">
        <v>1454</v>
      </c>
      <c r="B1" s="1551"/>
      <c r="C1" s="1551"/>
      <c r="D1" s="1551"/>
      <c r="E1" s="1551"/>
      <c r="F1" s="1044"/>
    </row>
    <row r="2" spans="1:6" ht="16.5" thickBot="1">
      <c r="A2" s="1105" t="s">
        <v>214</v>
      </c>
      <c r="B2" s="1084"/>
      <c r="C2" s="1084"/>
      <c r="D2" s="1552" t="s">
        <v>883</v>
      </c>
      <c r="E2" s="1552"/>
      <c r="F2" s="1044"/>
    </row>
    <row r="3" spans="1:6" ht="54" customHeight="1" thickBot="1">
      <c r="A3" s="1106" t="s">
        <v>4</v>
      </c>
      <c r="B3" s="1107" t="s">
        <v>6</v>
      </c>
      <c r="C3" s="1108" t="s">
        <v>884</v>
      </c>
      <c r="D3" s="1109" t="s">
        <v>885</v>
      </c>
      <c r="E3" s="1110" t="s">
        <v>886</v>
      </c>
      <c r="F3" s="1044"/>
    </row>
    <row r="4" spans="1:6" ht="16.5" thickBot="1">
      <c r="A4" s="1111" t="s">
        <v>599</v>
      </c>
      <c r="B4" s="1112" t="s">
        <v>15</v>
      </c>
      <c r="C4" s="1112" t="s">
        <v>600</v>
      </c>
      <c r="D4" s="1113" t="s">
        <v>601</v>
      </c>
      <c r="E4" s="1114"/>
      <c r="F4" s="1044"/>
    </row>
    <row r="5" spans="1:6" ht="15.75" customHeight="1">
      <c r="A5" s="1115" t="s">
        <v>887</v>
      </c>
      <c r="B5" s="1116" t="s">
        <v>27</v>
      </c>
      <c r="C5" s="1117">
        <v>220</v>
      </c>
      <c r="D5" s="1118">
        <v>350053003</v>
      </c>
      <c r="E5" s="1119"/>
      <c r="F5" s="1044"/>
    </row>
    <row r="6" spans="1:6" ht="15.75" customHeight="1">
      <c r="A6" s="1115" t="s">
        <v>888</v>
      </c>
      <c r="B6" s="1136" t="s">
        <v>28</v>
      </c>
      <c r="C6" s="1121"/>
      <c r="D6" s="1122"/>
      <c r="E6" s="1123"/>
      <c r="F6" s="1044"/>
    </row>
    <row r="7" spans="1:6" ht="15.75" customHeight="1">
      <c r="A7" s="1115" t="s">
        <v>889</v>
      </c>
      <c r="B7" s="1116" t="s">
        <v>10</v>
      </c>
      <c r="C7" s="1121">
        <v>88</v>
      </c>
      <c r="D7" s="1122">
        <v>6265191</v>
      </c>
      <c r="E7" s="1123"/>
      <c r="F7" s="1044"/>
    </row>
    <row r="8" spans="1:6" ht="15.75" customHeight="1" thickBot="1">
      <c r="A8" s="1125" t="s">
        <v>890</v>
      </c>
      <c r="B8" s="1126" t="s">
        <v>11</v>
      </c>
      <c r="C8" s="1127"/>
      <c r="D8" s="1128"/>
      <c r="E8" s="1129"/>
      <c r="F8" s="1044"/>
    </row>
    <row r="9" spans="1:6" ht="15.75" customHeight="1" thickBot="1">
      <c r="A9" s="1130" t="s">
        <v>891</v>
      </c>
      <c r="B9" s="1131" t="s">
        <v>12</v>
      </c>
      <c r="C9" s="1132"/>
      <c r="D9" s="1148"/>
      <c r="E9" s="1133">
        <f>SUM(E5:E8)</f>
        <v>0</v>
      </c>
      <c r="F9" s="1044"/>
    </row>
    <row r="10" spans="1:6" ht="15.75" customHeight="1">
      <c r="A10" s="1134" t="s">
        <v>892</v>
      </c>
      <c r="B10" s="1116" t="s">
        <v>13</v>
      </c>
      <c r="C10" s="1117"/>
      <c r="D10" s="1135"/>
      <c r="E10" s="1119"/>
      <c r="F10" s="1044"/>
    </row>
    <row r="11" spans="1:6" ht="15.75" customHeight="1">
      <c r="A11" s="1115" t="s">
        <v>893</v>
      </c>
      <c r="B11" s="1136" t="s">
        <v>14</v>
      </c>
      <c r="C11" s="1121"/>
      <c r="D11" s="1122"/>
      <c r="E11" s="1137"/>
      <c r="F11" s="1044"/>
    </row>
    <row r="12" spans="1:6" ht="15.75" customHeight="1">
      <c r="A12" s="1115" t="s">
        <v>894</v>
      </c>
      <c r="B12" s="1136" t="s">
        <v>57</v>
      </c>
      <c r="C12" s="1121"/>
      <c r="D12" s="1122"/>
      <c r="E12" s="1137"/>
      <c r="F12" s="1044"/>
    </row>
    <row r="13" spans="1:6" ht="15.75" customHeight="1" thickBot="1">
      <c r="A13" s="1125" t="s">
        <v>895</v>
      </c>
      <c r="B13" s="1126" t="s">
        <v>58</v>
      </c>
      <c r="C13" s="1127"/>
      <c r="D13" s="1128"/>
      <c r="E13" s="1138"/>
      <c r="F13" s="1044"/>
    </row>
    <row r="14" spans="1:6" ht="15.75" customHeight="1" thickBot="1">
      <c r="A14" s="1130" t="s">
        <v>896</v>
      </c>
      <c r="B14" s="1139" t="s">
        <v>403</v>
      </c>
      <c r="C14" s="1140"/>
      <c r="D14" s="1141">
        <f>+D15+D16+D17</f>
        <v>0</v>
      </c>
      <c r="E14" s="1114"/>
      <c r="F14" s="1044"/>
    </row>
    <row r="15" spans="1:6" ht="15.75" customHeight="1">
      <c r="A15" s="1134" t="s">
        <v>897</v>
      </c>
      <c r="B15" s="1116" t="s">
        <v>405</v>
      </c>
      <c r="C15" s="1117"/>
      <c r="D15" s="1135"/>
      <c r="E15" s="1142"/>
      <c r="F15" s="1044"/>
    </row>
    <row r="16" spans="1:6" ht="15.75" customHeight="1">
      <c r="A16" s="1115" t="s">
        <v>898</v>
      </c>
      <c r="B16" s="1136" t="s">
        <v>406</v>
      </c>
      <c r="C16" s="1121"/>
      <c r="D16" s="1122"/>
      <c r="E16" s="1137"/>
      <c r="F16" s="1044"/>
    </row>
    <row r="17" spans="1:6" ht="15.75" customHeight="1" thickBot="1">
      <c r="A17" s="1125" t="s">
        <v>899</v>
      </c>
      <c r="B17" s="1126" t="s">
        <v>407</v>
      </c>
      <c r="C17" s="1127"/>
      <c r="D17" s="1128"/>
      <c r="E17" s="1138"/>
      <c r="F17" s="1044"/>
    </row>
    <row r="18" spans="1:6" ht="15.75" customHeight="1" thickBot="1">
      <c r="A18" s="1130" t="s">
        <v>900</v>
      </c>
      <c r="B18" s="1139" t="s">
        <v>408</v>
      </c>
      <c r="C18" s="1140"/>
      <c r="D18" s="1141">
        <f>+D19+D20+D21</f>
        <v>0</v>
      </c>
      <c r="E18" s="1114"/>
      <c r="F18" s="1044"/>
    </row>
    <row r="19" spans="1:6" ht="15.75" customHeight="1">
      <c r="A19" s="1134" t="s">
        <v>901</v>
      </c>
      <c r="B19" s="1116" t="s">
        <v>409</v>
      </c>
      <c r="C19" s="1117"/>
      <c r="D19" s="1135"/>
      <c r="E19" s="1142"/>
      <c r="F19" s="1044"/>
    </row>
    <row r="20" spans="1:6" ht="15.75" customHeight="1">
      <c r="A20" s="1115" t="s">
        <v>902</v>
      </c>
      <c r="B20" s="1136" t="s">
        <v>616</v>
      </c>
      <c r="C20" s="1121"/>
      <c r="D20" s="1122"/>
      <c r="E20" s="1137"/>
      <c r="F20" s="1044"/>
    </row>
    <row r="21" spans="1:6" ht="15.75" customHeight="1">
      <c r="A21" s="1115" t="s">
        <v>903</v>
      </c>
      <c r="B21" s="1136" t="s">
        <v>617</v>
      </c>
      <c r="C21" s="1121"/>
      <c r="D21" s="1122"/>
      <c r="E21" s="1137"/>
      <c r="F21" s="1044"/>
    </row>
    <row r="22" spans="1:6" ht="15.75" customHeight="1">
      <c r="A22" s="1115" t="s">
        <v>904</v>
      </c>
      <c r="B22" s="1136" t="s">
        <v>619</v>
      </c>
      <c r="C22" s="1121"/>
      <c r="D22" s="1122"/>
      <c r="E22" s="1137"/>
      <c r="F22" s="1044"/>
    </row>
    <row r="23" spans="1:6" ht="15.75" customHeight="1">
      <c r="A23" s="1115"/>
      <c r="B23" s="1136" t="s">
        <v>620</v>
      </c>
      <c r="C23" s="1121"/>
      <c r="D23" s="1122"/>
      <c r="E23" s="1137"/>
      <c r="F23" s="1044"/>
    </row>
    <row r="24" spans="1:6" ht="15.75" customHeight="1">
      <c r="A24" s="1115"/>
      <c r="B24" s="1136" t="s">
        <v>627</v>
      </c>
      <c r="C24" s="1121"/>
      <c r="D24" s="1122"/>
      <c r="E24" s="1137"/>
      <c r="F24" s="1044"/>
    </row>
    <row r="25" spans="1:6" ht="15.75" customHeight="1">
      <c r="A25" s="1115"/>
      <c r="B25" s="1136" t="s">
        <v>773</v>
      </c>
      <c r="C25" s="1121"/>
      <c r="D25" s="1122"/>
      <c r="E25" s="1137"/>
      <c r="F25" s="1044"/>
    </row>
    <row r="26" spans="1:6" ht="15.75" customHeight="1">
      <c r="A26" s="1115"/>
      <c r="B26" s="1136" t="s">
        <v>775</v>
      </c>
      <c r="C26" s="1121"/>
      <c r="D26" s="1122"/>
      <c r="E26" s="1137"/>
      <c r="F26" s="1044"/>
    </row>
    <row r="27" spans="1:6" ht="15.75" customHeight="1">
      <c r="A27" s="1115"/>
      <c r="B27" s="1136" t="s">
        <v>777</v>
      </c>
      <c r="C27" s="1121"/>
      <c r="D27" s="1122"/>
      <c r="E27" s="1137"/>
      <c r="F27" s="1044"/>
    </row>
    <row r="28" spans="1:6" ht="15.75" customHeight="1">
      <c r="A28" s="1115"/>
      <c r="B28" s="1136" t="s">
        <v>779</v>
      </c>
      <c r="C28" s="1121"/>
      <c r="D28" s="1122"/>
      <c r="E28" s="1137"/>
      <c r="F28" s="1044"/>
    </row>
    <row r="29" spans="1:6" ht="15.75" customHeight="1">
      <c r="A29" s="1115"/>
      <c r="B29" s="1136" t="s">
        <v>781</v>
      </c>
      <c r="C29" s="1121"/>
      <c r="D29" s="1122"/>
      <c r="E29" s="1137"/>
      <c r="F29" s="1044"/>
    </row>
    <row r="30" spans="1:6" ht="15.75" customHeight="1">
      <c r="A30" s="1115"/>
      <c r="B30" s="1136" t="s">
        <v>783</v>
      </c>
      <c r="C30" s="1121"/>
      <c r="D30" s="1122"/>
      <c r="E30" s="1137"/>
      <c r="F30" s="1044"/>
    </row>
    <row r="31" spans="1:6" ht="15.75" customHeight="1">
      <c r="A31" s="1115"/>
      <c r="B31" s="1136" t="s">
        <v>785</v>
      </c>
      <c r="C31" s="1121"/>
      <c r="D31" s="1122"/>
      <c r="E31" s="1137"/>
      <c r="F31" s="1044"/>
    </row>
    <row r="32" spans="1:6" ht="15.75" customHeight="1">
      <c r="A32" s="1115"/>
      <c r="B32" s="1136" t="s">
        <v>787</v>
      </c>
      <c r="C32" s="1121"/>
      <c r="D32" s="1122"/>
      <c r="E32" s="1137"/>
      <c r="F32" s="1044"/>
    </row>
    <row r="33" spans="1:6" ht="15.75" customHeight="1">
      <c r="A33" s="1115"/>
      <c r="B33" s="1136" t="s">
        <v>789</v>
      </c>
      <c r="C33" s="1121"/>
      <c r="D33" s="1122"/>
      <c r="E33" s="1137"/>
      <c r="F33" s="1044"/>
    </row>
    <row r="34" spans="1:6" ht="15.75" customHeight="1">
      <c r="A34" s="1115"/>
      <c r="B34" s="1136" t="s">
        <v>791</v>
      </c>
      <c r="C34" s="1121"/>
      <c r="D34" s="1122"/>
      <c r="E34" s="1137"/>
      <c r="F34" s="1044"/>
    </row>
    <row r="35" spans="1:6" ht="15.75" customHeight="1">
      <c r="A35" s="1115"/>
      <c r="B35" s="1136" t="s">
        <v>793</v>
      </c>
      <c r="C35" s="1121"/>
      <c r="D35" s="1122"/>
      <c r="E35" s="1137"/>
      <c r="F35" s="1044"/>
    </row>
    <row r="36" spans="1:6" ht="15.75" customHeight="1">
      <c r="A36" s="1115"/>
      <c r="B36" s="1136" t="s">
        <v>795</v>
      </c>
      <c r="C36" s="1121"/>
      <c r="D36" s="1122"/>
      <c r="E36" s="1137"/>
      <c r="F36" s="1044"/>
    </row>
    <row r="37" spans="1:6" ht="15.75" customHeight="1" thickBot="1">
      <c r="A37" s="1125"/>
      <c r="B37" s="1126" t="s">
        <v>797</v>
      </c>
      <c r="C37" s="1127"/>
      <c r="D37" s="1128"/>
      <c r="E37" s="1138"/>
      <c r="F37" s="1044"/>
    </row>
    <row r="38" spans="1:6" ht="15.75" customHeight="1" thickBot="1">
      <c r="A38" s="1553" t="s">
        <v>905</v>
      </c>
      <c r="B38" s="1553"/>
      <c r="C38" s="1143"/>
      <c r="D38" s="1144">
        <f>SUM(D5:D8)</f>
        <v>356318194</v>
      </c>
      <c r="E38" s="1145">
        <f>E9+E14+E18+E19+E20+E21+E22</f>
        <v>0</v>
      </c>
      <c r="F38" s="1146"/>
    </row>
  </sheetData>
  <sheetProtection selectLockedCells="1" selectUnlockedCells="1"/>
  <mergeCells count="3">
    <mergeCell ref="A1:E1"/>
    <mergeCell ref="D2:E2"/>
    <mergeCell ref="A38:B3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&amp;R13.f.számú melléklet</oddHeader>
    <oddFooter>&amp;C&amp;"Times New Roman,Normál"&amp;12Oldal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C7" sqref="C7:D25"/>
    </sheetView>
  </sheetViews>
  <sheetFormatPr defaultColWidth="9.140625" defaultRowHeight="12.75"/>
  <cols>
    <col min="1" max="1" width="9.00390625" style="641" customWidth="1"/>
    <col min="2" max="2" width="58.57421875" style="642" customWidth="1"/>
    <col min="3" max="3" width="17.00390625" style="642" customWidth="1"/>
    <col min="4" max="7" width="14.7109375" style="641" customWidth="1"/>
    <col min="8" max="9" width="9.140625" style="641" customWidth="1"/>
    <col min="10" max="16384" width="9.140625" style="641" customWidth="1"/>
  </cols>
  <sheetData>
    <row r="1" spans="5:6" ht="15">
      <c r="E1" s="1554" t="s">
        <v>907</v>
      </c>
      <c r="F1" s="1554"/>
    </row>
    <row r="2" spans="1:7" ht="48.75" customHeight="1">
      <c r="A2" s="1555" t="s">
        <v>400</v>
      </c>
      <c r="B2" s="1555"/>
      <c r="C2" s="1555"/>
      <c r="D2" s="1555"/>
      <c r="E2" s="1555"/>
      <c r="F2" s="1555"/>
      <c r="G2" s="643"/>
    </row>
    <row r="3" spans="1:8" ht="15.75" customHeight="1" thickBot="1">
      <c r="A3" s="564"/>
      <c r="B3" s="644"/>
      <c r="C3" s="644"/>
      <c r="D3" s="564"/>
      <c r="E3" s="1556" t="s">
        <v>441</v>
      </c>
      <c r="F3" s="1556"/>
      <c r="H3" s="645"/>
    </row>
    <row r="4" spans="1:7" ht="63" customHeight="1">
      <c r="A4" s="1557" t="s">
        <v>247</v>
      </c>
      <c r="B4" s="1559" t="s">
        <v>401</v>
      </c>
      <c r="C4" s="1561" t="s">
        <v>402</v>
      </c>
      <c r="D4" s="1562"/>
      <c r="E4" s="1562"/>
      <c r="F4" s="1563"/>
      <c r="G4" s="646"/>
    </row>
    <row r="5" spans="1:6" ht="16.5" thickBot="1">
      <c r="A5" s="1558"/>
      <c r="B5" s="1560"/>
      <c r="C5" s="980">
        <v>2018</v>
      </c>
      <c r="D5" s="980">
        <v>2019</v>
      </c>
      <c r="E5" s="980">
        <v>2020</v>
      </c>
      <c r="F5" s="980">
        <v>2021</v>
      </c>
    </row>
    <row r="6" spans="1:6" ht="16.5" thickBot="1">
      <c r="A6" s="981">
        <v>1</v>
      </c>
      <c r="B6" s="982">
        <v>2</v>
      </c>
      <c r="C6" s="982">
        <v>3</v>
      </c>
      <c r="D6" s="983">
        <v>4</v>
      </c>
      <c r="E6" s="983">
        <v>5</v>
      </c>
      <c r="F6" s="984">
        <v>6</v>
      </c>
    </row>
    <row r="7" spans="1:9" ht="16.5" thickBot="1">
      <c r="A7" s="985" t="s">
        <v>27</v>
      </c>
      <c r="B7" s="986" t="s">
        <v>444</v>
      </c>
      <c r="C7" s="987">
        <v>3041894</v>
      </c>
      <c r="D7" s="987">
        <f>2267801+17035</f>
        <v>2284836</v>
      </c>
      <c r="E7" s="987"/>
      <c r="F7" s="988"/>
      <c r="I7" s="655"/>
    </row>
    <row r="8" spans="1:6" ht="27" customHeight="1" hidden="1">
      <c r="A8" s="989" t="s">
        <v>28</v>
      </c>
      <c r="B8" s="990"/>
      <c r="C8" s="990"/>
      <c r="D8" s="991"/>
      <c r="E8" s="992"/>
      <c r="F8" s="993"/>
    </row>
    <row r="9" spans="1:6" ht="27" customHeight="1" hidden="1">
      <c r="A9" s="989" t="s">
        <v>10</v>
      </c>
      <c r="B9" s="994"/>
      <c r="C9" s="994"/>
      <c r="D9" s="991"/>
      <c r="E9" s="992"/>
      <c r="F9" s="993"/>
    </row>
    <row r="10" spans="1:6" ht="27" customHeight="1" hidden="1" thickBot="1">
      <c r="A10" s="989" t="s">
        <v>11</v>
      </c>
      <c r="B10" s="995"/>
      <c r="C10" s="995"/>
      <c r="D10" s="991"/>
      <c r="E10" s="992"/>
      <c r="F10" s="993"/>
    </row>
    <row r="11" spans="1:6" ht="27" customHeight="1" hidden="1">
      <c r="A11" s="989" t="s">
        <v>12</v>
      </c>
      <c r="B11" s="994"/>
      <c r="C11" s="994"/>
      <c r="D11" s="991"/>
      <c r="E11" s="992"/>
      <c r="F11" s="993"/>
    </row>
    <row r="12" spans="1:6" ht="27" customHeight="1" hidden="1">
      <c r="A12" s="989" t="s">
        <v>13</v>
      </c>
      <c r="B12" s="995"/>
      <c r="C12" s="995"/>
      <c r="D12" s="991"/>
      <c r="E12" s="992"/>
      <c r="F12" s="993"/>
    </row>
    <row r="13" spans="1:6" ht="27" customHeight="1" hidden="1">
      <c r="A13" s="989" t="s">
        <v>14</v>
      </c>
      <c r="B13" s="995"/>
      <c r="C13" s="995"/>
      <c r="D13" s="991"/>
      <c r="E13" s="992"/>
      <c r="F13" s="993"/>
    </row>
    <row r="14" spans="1:6" ht="27" customHeight="1" hidden="1">
      <c r="A14" s="989" t="s">
        <v>57</v>
      </c>
      <c r="B14" s="995"/>
      <c r="C14" s="995"/>
      <c r="D14" s="991"/>
      <c r="E14" s="992"/>
      <c r="F14" s="993"/>
    </row>
    <row r="15" spans="1:6" ht="27" customHeight="1" hidden="1">
      <c r="A15" s="989" t="s">
        <v>58</v>
      </c>
      <c r="B15" s="995"/>
      <c r="C15" s="995"/>
      <c r="D15" s="991"/>
      <c r="E15" s="992"/>
      <c r="F15" s="993"/>
    </row>
    <row r="16" spans="1:6" ht="27" customHeight="1" hidden="1" thickBot="1">
      <c r="A16" s="989" t="s">
        <v>403</v>
      </c>
      <c r="B16" s="995"/>
      <c r="C16" s="995"/>
      <c r="D16" s="991"/>
      <c r="E16" s="992"/>
      <c r="F16" s="993"/>
    </row>
    <row r="17" spans="1:6" ht="27" customHeight="1" hidden="1">
      <c r="A17" s="996"/>
      <c r="B17" s="997"/>
      <c r="C17" s="997"/>
      <c r="D17" s="998"/>
      <c r="E17" s="998"/>
      <c r="F17" s="999"/>
    </row>
    <row r="18" spans="1:6" ht="27" customHeight="1" hidden="1">
      <c r="A18" s="996"/>
      <c r="B18" s="997"/>
      <c r="C18" s="997"/>
      <c r="D18" s="998"/>
      <c r="E18" s="998"/>
      <c r="F18" s="999"/>
    </row>
    <row r="19" spans="1:6" ht="27" customHeight="1" hidden="1">
      <c r="A19" s="996"/>
      <c r="B19" s="997"/>
      <c r="C19" s="997"/>
      <c r="D19" s="998"/>
      <c r="E19" s="998"/>
      <c r="F19" s="999"/>
    </row>
    <row r="20" spans="1:6" ht="27" customHeight="1" hidden="1">
      <c r="A20" s="996"/>
      <c r="B20" s="997"/>
      <c r="C20" s="997"/>
      <c r="D20" s="998"/>
      <c r="E20" s="998"/>
      <c r="F20" s="999"/>
    </row>
    <row r="21" spans="1:6" ht="27" customHeight="1" hidden="1">
      <c r="A21" s="996"/>
      <c r="B21" s="997"/>
      <c r="C21" s="997"/>
      <c r="D21" s="998"/>
      <c r="E21" s="998"/>
      <c r="F21" s="999"/>
    </row>
    <row r="22" spans="1:6" ht="27" customHeight="1" hidden="1">
      <c r="A22" s="996"/>
      <c r="B22" s="997"/>
      <c r="C22" s="997"/>
      <c r="D22" s="998"/>
      <c r="E22" s="998"/>
      <c r="F22" s="999"/>
    </row>
    <row r="23" spans="1:6" ht="27" customHeight="1" hidden="1">
      <c r="A23" s="996"/>
      <c r="B23" s="997"/>
      <c r="C23" s="997"/>
      <c r="D23" s="998"/>
      <c r="E23" s="998"/>
      <c r="F23" s="999"/>
    </row>
    <row r="24" spans="1:6" ht="32.25" customHeight="1" hidden="1" thickBot="1">
      <c r="A24" s="996" t="s">
        <v>12</v>
      </c>
      <c r="B24" s="997"/>
      <c r="C24" s="997"/>
      <c r="D24" s="998"/>
      <c r="E24" s="998"/>
      <c r="F24" s="999"/>
    </row>
    <row r="25" spans="1:7" ht="27" customHeight="1" thickBot="1">
      <c r="A25" s="981">
        <v>2</v>
      </c>
      <c r="B25" s="1000" t="s">
        <v>404</v>
      </c>
      <c r="C25" s="1001">
        <f>SUM(C7:C24)</f>
        <v>3041894</v>
      </c>
      <c r="D25" s="1001">
        <f>SUM(D7:D24)</f>
        <v>2284836</v>
      </c>
      <c r="E25" s="1001">
        <f>SUM(E7:E24)</f>
        <v>0</v>
      </c>
      <c r="F25" s="1002">
        <f>SUM(F7:F24)</f>
        <v>0</v>
      </c>
      <c r="G25" s="656"/>
    </row>
    <row r="27" ht="15">
      <c r="C27" s="655"/>
    </row>
    <row r="28" spans="2:3" ht="15.75">
      <c r="B28" s="647"/>
      <c r="C28" s="978"/>
    </row>
    <row r="29" ht="15">
      <c r="C29" s="979"/>
    </row>
  </sheetData>
  <sheetProtection/>
  <mergeCells count="6">
    <mergeCell ref="E1:F1"/>
    <mergeCell ref="A2:F2"/>
    <mergeCell ref="E3:F3"/>
    <mergeCell ref="A4:A5"/>
    <mergeCell ref="B4:B5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4">
      <selection activeCell="G12" sqref="G12"/>
    </sheetView>
  </sheetViews>
  <sheetFormatPr defaultColWidth="9.140625" defaultRowHeight="12.75"/>
  <cols>
    <col min="1" max="1" width="8.140625" style="563" customWidth="1"/>
    <col min="2" max="2" width="64.00390625" style="563" customWidth="1"/>
    <col min="3" max="3" width="19.8515625" style="563" customWidth="1"/>
    <col min="4" max="5" width="16.7109375" style="563" hidden="1" customWidth="1"/>
    <col min="6" max="8" width="15.00390625" style="563" customWidth="1"/>
    <col min="9" max="12" width="15.00390625" style="563" hidden="1" customWidth="1"/>
    <col min="13" max="13" width="15.00390625" style="563" customWidth="1"/>
    <col min="14" max="16384" width="9.140625" style="563" customWidth="1"/>
  </cols>
  <sheetData>
    <row r="1" spans="3:7" ht="15">
      <c r="C1" s="1569" t="s">
        <v>906</v>
      </c>
      <c r="D1" s="1569"/>
      <c r="E1" s="1569"/>
      <c r="F1" s="1569"/>
      <c r="G1" s="1569"/>
    </row>
    <row r="2" spans="1:7" ht="47.25" customHeight="1">
      <c r="A2" s="1568" t="s">
        <v>391</v>
      </c>
      <c r="B2" s="1568"/>
      <c r="C2" s="1568"/>
      <c r="D2" s="1568"/>
      <c r="E2" s="1568"/>
      <c r="F2" s="1568"/>
      <c r="G2" s="1568"/>
    </row>
    <row r="3" spans="1:6" ht="15.75" customHeight="1" thickBot="1">
      <c r="A3" s="564"/>
      <c r="B3" s="564"/>
      <c r="C3" s="1567" t="s">
        <v>441</v>
      </c>
      <c r="D3" s="1567"/>
      <c r="E3" s="1567"/>
      <c r="F3" s="565"/>
    </row>
    <row r="4" spans="1:12" ht="44.25" customHeight="1" thickBot="1">
      <c r="A4" s="566" t="s">
        <v>247</v>
      </c>
      <c r="B4" s="567" t="s">
        <v>392</v>
      </c>
      <c r="C4" s="568" t="s">
        <v>549</v>
      </c>
      <c r="D4" s="568" t="s">
        <v>227</v>
      </c>
      <c r="E4" s="568" t="s">
        <v>230</v>
      </c>
      <c r="F4" s="568" t="s">
        <v>232</v>
      </c>
      <c r="G4" s="568" t="s">
        <v>235</v>
      </c>
      <c r="H4" s="568" t="s">
        <v>236</v>
      </c>
      <c r="I4" s="568" t="s">
        <v>233</v>
      </c>
      <c r="J4" s="568" t="s">
        <v>434</v>
      </c>
      <c r="K4" s="568" t="s">
        <v>437</v>
      </c>
      <c r="L4" s="568" t="s">
        <v>431</v>
      </c>
    </row>
    <row r="5" spans="1:12" ht="26.25" customHeight="1" thickBot="1">
      <c r="A5" s="569">
        <v>1</v>
      </c>
      <c r="B5" s="570">
        <v>2</v>
      </c>
      <c r="C5" s="571">
        <v>3</v>
      </c>
      <c r="D5" s="571">
        <v>4</v>
      </c>
      <c r="E5" s="571">
        <v>5</v>
      </c>
      <c r="F5" s="571">
        <v>4</v>
      </c>
      <c r="G5" s="571">
        <v>5</v>
      </c>
      <c r="H5" s="571">
        <v>6</v>
      </c>
      <c r="I5" s="571">
        <v>5</v>
      </c>
      <c r="J5" s="571">
        <v>6</v>
      </c>
      <c r="K5" s="571">
        <v>7</v>
      </c>
      <c r="L5" s="571">
        <v>7</v>
      </c>
    </row>
    <row r="6" spans="1:12" ht="31.5" customHeight="1">
      <c r="A6" s="572" t="s">
        <v>27</v>
      </c>
      <c r="B6" s="573" t="s">
        <v>283</v>
      </c>
      <c r="C6" s="574">
        <f>'1.sz.m-önk.össze.bev'!E8</f>
        <v>18780000</v>
      </c>
      <c r="D6" s="574">
        <f>'1.sz.m-önk.össze.bev'!F8</f>
        <v>18780000</v>
      </c>
      <c r="E6" s="574">
        <f>'1.sz.m-önk.össze.bev'!G8</f>
        <v>18780000</v>
      </c>
      <c r="F6" s="574">
        <f>'1.sz.m-önk.össze.bev'!H8</f>
        <v>20016326</v>
      </c>
      <c r="G6" s="574">
        <f>'1.sz.m-önk.össze.bev'!I8</f>
        <v>19923995</v>
      </c>
      <c r="H6" s="973">
        <f>+G6/F6</f>
        <v>0.9953872154160559</v>
      </c>
      <c r="I6" s="574">
        <f>'1.sz.m-önk.össze.bev'!K8</f>
        <v>18780000</v>
      </c>
      <c r="J6" s="574">
        <f>'1.sz.m-önk.össze.bev'!L8</f>
        <v>18780000</v>
      </c>
      <c r="K6" s="574">
        <f>'1.sz.m-önk.össze.bev'!M8</f>
        <v>18780000</v>
      </c>
      <c r="L6" s="574">
        <f>'1.sz.m-önk.össze.bev'!N8</f>
        <v>20016326</v>
      </c>
    </row>
    <row r="7" spans="1:12" ht="26.25" customHeight="1">
      <c r="A7" s="575" t="s">
        <v>28</v>
      </c>
      <c r="B7" s="573" t="s">
        <v>393</v>
      </c>
      <c r="C7" s="576">
        <f>'1.sz.m-önk.össze.bev'!E13</f>
        <v>150000000</v>
      </c>
      <c r="D7" s="576">
        <f>'1.sz.m-önk.össze.bev'!F13</f>
        <v>150000000</v>
      </c>
      <c r="E7" s="576">
        <f>'1.sz.m-önk.össze.bev'!G13</f>
        <v>150000000</v>
      </c>
      <c r="F7" s="576">
        <f>'1.sz.m-önk.össze.bev'!H13</f>
        <v>166418289</v>
      </c>
      <c r="G7" s="576">
        <f>'1.sz.m-önk.össze.bev'!I13</f>
        <v>165405197</v>
      </c>
      <c r="H7" s="974">
        <f aca="true" t="shared" si="0" ref="H7:H12">+G7/F7</f>
        <v>0.9939123758206647</v>
      </c>
      <c r="I7" s="576">
        <f>'1.sz.m-önk.össze.bev'!K13</f>
        <v>131561213</v>
      </c>
      <c r="J7" s="576">
        <f>'1.sz.m-önk.össze.bev'!L13</f>
        <v>130000761</v>
      </c>
      <c r="K7" s="576">
        <f>'1.sz.m-önk.össze.bev'!M13</f>
        <v>129334373</v>
      </c>
      <c r="L7" s="576">
        <f>'1.sz.m-önk.össze.bev'!N13</f>
        <v>138143107</v>
      </c>
    </row>
    <row r="8" spans="1:12" ht="33.75" customHeight="1">
      <c r="A8" s="577" t="s">
        <v>10</v>
      </c>
      <c r="B8" s="578" t="s">
        <v>394</v>
      </c>
      <c r="C8" s="579">
        <f>'1.sz.m-önk.össze.bev'!E17</f>
        <v>0</v>
      </c>
      <c r="D8" s="579">
        <f>'1.sz.m-önk.össze.bev'!F17</f>
        <v>0</v>
      </c>
      <c r="E8" s="579">
        <f>'1.sz.m-önk.össze.bev'!G17</f>
        <v>0</v>
      </c>
      <c r="F8" s="579">
        <f>'1.sz.m-önk.össze.bev'!H17</f>
        <v>0</v>
      </c>
      <c r="G8" s="579">
        <f>'1.sz.m-önk.össze.bev'!I17</f>
        <v>0</v>
      </c>
      <c r="H8" s="975"/>
      <c r="I8" s="579">
        <f>'1.sz.m-önk.össze.bev'!K17</f>
        <v>0</v>
      </c>
      <c r="J8" s="579">
        <f>'1.sz.m-önk.össze.bev'!L17</f>
        <v>0</v>
      </c>
      <c r="K8" s="579">
        <f>'1.sz.m-önk.össze.bev'!M17</f>
        <v>0</v>
      </c>
      <c r="L8" s="579">
        <f>'1.sz.m-önk.össze.bev'!N17</f>
        <v>0</v>
      </c>
    </row>
    <row r="9" spans="1:12" ht="33" customHeight="1">
      <c r="A9" s="575" t="s">
        <v>11</v>
      </c>
      <c r="B9" s="580" t="s">
        <v>298</v>
      </c>
      <c r="C9" s="579">
        <f>'1.sz.m-önk.össze.bev'!E20</f>
        <v>1060000</v>
      </c>
      <c r="D9" s="579">
        <f>'1.sz.m-önk.össze.bev'!F20</f>
        <v>1060000</v>
      </c>
      <c r="E9" s="579">
        <f>'1.sz.m-önk.össze.bev'!G20</f>
        <v>1060000</v>
      </c>
      <c r="F9" s="579">
        <f>'1.sz.m-önk.össze.bev'!H20</f>
        <v>2092682</v>
      </c>
      <c r="G9" s="579">
        <f>'1.sz.m-önk.össze.bev'!I20</f>
        <v>1581680</v>
      </c>
      <c r="H9" s="975">
        <f t="shared" si="0"/>
        <v>0.755814786957598</v>
      </c>
      <c r="I9" s="579">
        <f>'1.sz.m-önk.össze.bev'!K20</f>
        <v>1060000</v>
      </c>
      <c r="J9" s="579">
        <f>'1.sz.m-önk.össze.bev'!L20</f>
        <v>1060000</v>
      </c>
      <c r="K9" s="579">
        <f>'1.sz.m-önk.össze.bev'!M20</f>
        <v>1060000</v>
      </c>
      <c r="L9" s="579">
        <f>'1.sz.m-önk.össze.bev'!N20</f>
        <v>2092682</v>
      </c>
    </row>
    <row r="10" spans="1:12" ht="26.25" customHeight="1">
      <c r="A10" s="577" t="s">
        <v>12</v>
      </c>
      <c r="B10" s="580" t="s">
        <v>395</v>
      </c>
      <c r="C10" s="581">
        <f>'1.sz.m-önk.össze.bev'!E25</f>
        <v>3229466</v>
      </c>
      <c r="D10" s="581">
        <f>'1.sz.m-önk.össze.bev'!F25</f>
        <v>1579466</v>
      </c>
      <c r="E10" s="581">
        <f>'1.sz.m-önk.össze.bev'!G25</f>
        <v>1579466</v>
      </c>
      <c r="F10" s="581">
        <f>'1.sz.m-önk.össze.bev'!H25</f>
        <v>722399</v>
      </c>
      <c r="G10" s="581">
        <f>'1.sz.m-önk.össze.bev'!I25</f>
        <v>722399</v>
      </c>
      <c r="H10" s="976">
        <f t="shared" si="0"/>
        <v>1</v>
      </c>
      <c r="I10" s="581">
        <f>'1.sz.m-önk.össze.bev'!K25</f>
        <v>1579466</v>
      </c>
      <c r="J10" s="581">
        <f>'1.sz.m-önk.össze.bev'!L25</f>
        <v>1579466</v>
      </c>
      <c r="K10" s="581">
        <f>'1.sz.m-önk.össze.bev'!M25</f>
        <v>1579466</v>
      </c>
      <c r="L10" s="581">
        <f>'1.sz.m-önk.össze.bev'!N25</f>
        <v>722399</v>
      </c>
    </row>
    <row r="11" spans="1:12" ht="26.25" customHeight="1" thickBot="1">
      <c r="A11" s="577" t="s">
        <v>13</v>
      </c>
      <c r="B11" s="580" t="s">
        <v>498</v>
      </c>
      <c r="C11" s="579">
        <f>'1.sz.m-önk.össze.bev'!E55</f>
        <v>25000000</v>
      </c>
      <c r="D11" s="579">
        <f>'1.sz.m-önk.össze.bev'!F55</f>
        <v>25950000</v>
      </c>
      <c r="E11" s="579">
        <f>'1.sz.m-önk.össze.bev'!G55</f>
        <v>25950000</v>
      </c>
      <c r="F11" s="579">
        <f>'1.sz.m-önk.össze.bev'!H55</f>
        <v>25950000</v>
      </c>
      <c r="G11" s="579">
        <f>'1.sz.m-önk.össze.bev'!I55</f>
        <v>25950000</v>
      </c>
      <c r="H11" s="975">
        <f t="shared" si="0"/>
        <v>1</v>
      </c>
      <c r="I11" s="579">
        <f>'1.sz.m-önk.össze.bev'!K55</f>
        <v>25000000</v>
      </c>
      <c r="J11" s="579">
        <f>'1.sz.m-önk.össze.bev'!L55</f>
        <v>25950000</v>
      </c>
      <c r="K11" s="579">
        <f>'1.sz.m-önk.össze.bev'!M55</f>
        <v>25950000</v>
      </c>
      <c r="L11" s="579">
        <f>'1.sz.m-önk.össze.bev'!N55</f>
        <v>25950000</v>
      </c>
    </row>
    <row r="12" spans="1:12" ht="26.25" customHeight="1" thickBot="1">
      <c r="A12" s="1564" t="s">
        <v>396</v>
      </c>
      <c r="B12" s="1565"/>
      <c r="C12" s="582">
        <f aca="true" t="shared" si="1" ref="C12:L12">SUM(C6:C11)</f>
        <v>198069466</v>
      </c>
      <c r="D12" s="582">
        <f>SUM(D6:D11)</f>
        <v>197369466</v>
      </c>
      <c r="E12" s="582">
        <f>SUM(E6:E11)</f>
        <v>197369466</v>
      </c>
      <c r="F12" s="582">
        <f t="shared" si="1"/>
        <v>215199696</v>
      </c>
      <c r="G12" s="582">
        <f t="shared" si="1"/>
        <v>213583271</v>
      </c>
      <c r="H12" s="977">
        <f t="shared" si="0"/>
        <v>0.9924887208019104</v>
      </c>
      <c r="I12" s="582">
        <f t="shared" si="1"/>
        <v>177980679</v>
      </c>
      <c r="J12" s="582">
        <f t="shared" si="1"/>
        <v>177370227</v>
      </c>
      <c r="K12" s="582">
        <f t="shared" si="1"/>
        <v>176703839</v>
      </c>
      <c r="L12" s="582">
        <f t="shared" si="1"/>
        <v>186924514</v>
      </c>
    </row>
    <row r="13" spans="1:5" ht="23.25" customHeight="1">
      <c r="A13" s="1566"/>
      <c r="B13" s="1566"/>
      <c r="C13" s="1566"/>
      <c r="D13" s="583"/>
      <c r="E13" s="583"/>
    </row>
  </sheetData>
  <sheetProtection/>
  <mergeCells count="5">
    <mergeCell ref="A12:B12"/>
    <mergeCell ref="A13:C13"/>
    <mergeCell ref="C3:E3"/>
    <mergeCell ref="A2:G2"/>
    <mergeCell ref="C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9.140625" style="810" customWidth="1"/>
    <col min="2" max="2" width="19.140625" style="810" customWidth="1"/>
    <col min="3" max="3" width="14.421875" style="810" customWidth="1"/>
    <col min="4" max="4" width="13.7109375" style="810" customWidth="1"/>
    <col min="5" max="5" width="16.28125" style="810" customWidth="1"/>
    <col min="6" max="6" width="19.140625" style="810" bestFit="1" customWidth="1"/>
    <col min="7" max="16384" width="9.140625" style="810" customWidth="1"/>
  </cols>
  <sheetData>
    <row r="1" spans="1:6" ht="15">
      <c r="A1" s="1013"/>
      <c r="B1" s="1013"/>
      <c r="C1" s="1014"/>
      <c r="D1" s="1013"/>
      <c r="E1" s="1013"/>
      <c r="F1" s="1015" t="s">
        <v>719</v>
      </c>
    </row>
    <row r="2" spans="1:6" ht="15">
      <c r="A2" s="1013"/>
      <c r="B2" s="1013"/>
      <c r="C2" s="1014"/>
      <c r="D2" s="1013"/>
      <c r="E2" s="1013"/>
      <c r="F2" s="1013"/>
    </row>
    <row r="3" spans="1:6" ht="17.25">
      <c r="A3" s="1570" t="s">
        <v>720</v>
      </c>
      <c r="B3" s="1570"/>
      <c r="C3" s="1570"/>
      <c r="D3" s="1570"/>
      <c r="E3" s="1570"/>
      <c r="F3" s="1570"/>
    </row>
    <row r="4" spans="1:6" ht="17.25">
      <c r="A4" s="1570" t="s">
        <v>721</v>
      </c>
      <c r="B4" s="1570"/>
      <c r="C4" s="1570"/>
      <c r="D4" s="1570"/>
      <c r="E4" s="1570"/>
      <c r="F4" s="1570"/>
    </row>
    <row r="5" spans="1:6" ht="18" thickBot="1">
      <c r="A5" s="1016"/>
      <c r="B5" s="1017"/>
      <c r="C5" s="1017"/>
      <c r="D5" s="1017"/>
      <c r="E5" s="1571" t="s">
        <v>722</v>
      </c>
      <c r="F5" s="1571"/>
    </row>
    <row r="6" spans="1:6" ht="14.25" customHeight="1">
      <c r="A6" s="1572" t="s">
        <v>595</v>
      </c>
      <c r="B6" s="1574" t="s">
        <v>723</v>
      </c>
      <c r="C6" s="1576" t="s">
        <v>724</v>
      </c>
      <c r="D6" s="1018" t="s">
        <v>725</v>
      </c>
      <c r="E6" s="1019" t="s">
        <v>726</v>
      </c>
      <c r="F6" s="1578" t="s">
        <v>727</v>
      </c>
    </row>
    <row r="7" spans="1:6" ht="15" customHeight="1" thickBot="1">
      <c r="A7" s="1573"/>
      <c r="B7" s="1575"/>
      <c r="C7" s="1577"/>
      <c r="D7" s="1020" t="s">
        <v>728</v>
      </c>
      <c r="E7" s="1021" t="s">
        <v>729</v>
      </c>
      <c r="F7" s="1579"/>
    </row>
    <row r="8" spans="1:6" ht="15.75" thickBot="1">
      <c r="A8" s="1022"/>
      <c r="B8" s="1023" t="s">
        <v>730</v>
      </c>
      <c r="C8" s="1023"/>
      <c r="D8" s="1024"/>
      <c r="E8" s="1024"/>
      <c r="F8" s="1025">
        <v>0</v>
      </c>
    </row>
    <row r="9" spans="1:6" ht="30.75" thickBot="1">
      <c r="A9" s="1026">
        <v>1</v>
      </c>
      <c r="B9" s="1027" t="s">
        <v>731</v>
      </c>
      <c r="C9" s="1028"/>
      <c r="D9" s="1029"/>
      <c r="E9" s="1029"/>
      <c r="F9" s="1030">
        <v>0</v>
      </c>
    </row>
    <row r="10" spans="1:6" ht="15.75" thickBot="1">
      <c r="A10" s="1022"/>
      <c r="B10" s="1023" t="s">
        <v>732</v>
      </c>
      <c r="C10" s="1023"/>
      <c r="D10" s="1024"/>
      <c r="E10" s="1024"/>
      <c r="F10" s="1031"/>
    </row>
    <row r="11" spans="1:6" ht="60">
      <c r="A11" s="1032">
        <v>1</v>
      </c>
      <c r="B11" s="1033" t="s">
        <v>733</v>
      </c>
      <c r="C11" s="1033" t="s">
        <v>734</v>
      </c>
      <c r="D11" s="1034" t="s">
        <v>735</v>
      </c>
      <c r="E11" s="1034" t="s">
        <v>621</v>
      </c>
      <c r="F11" s="1781">
        <f>2267801</f>
        <v>2267801</v>
      </c>
    </row>
    <row r="12" spans="1:6" ht="15">
      <c r="A12" s="1035">
        <v>2</v>
      </c>
      <c r="B12" s="1033"/>
      <c r="C12" s="1033"/>
      <c r="D12" s="1034"/>
      <c r="E12" s="1034"/>
      <c r="F12" s="1036"/>
    </row>
    <row r="13" spans="1:6" ht="15">
      <c r="A13" s="1026">
        <v>3</v>
      </c>
      <c r="B13" s="1033"/>
      <c r="C13" s="1033"/>
      <c r="D13" s="1037"/>
      <c r="E13" s="1037"/>
      <c r="F13" s="1038"/>
    </row>
    <row r="14" spans="1:6" ht="15.75" thickBot="1">
      <c r="A14" s="1039">
        <v>4</v>
      </c>
      <c r="B14" s="1040"/>
      <c r="C14" s="1033"/>
      <c r="D14" s="1041"/>
      <c r="E14" s="1041"/>
      <c r="F14" s="1042"/>
    </row>
    <row r="15" spans="1:6" ht="16.5" thickBot="1">
      <c r="A15" s="1022"/>
      <c r="B15" s="1043" t="s">
        <v>628</v>
      </c>
      <c r="C15" s="1043"/>
      <c r="D15" s="1024"/>
      <c r="E15" s="1024"/>
      <c r="F15" s="1031">
        <f>SUM(F11:F14)</f>
        <v>2267801</v>
      </c>
    </row>
  </sheetData>
  <sheetProtection/>
  <mergeCells count="7">
    <mergeCell ref="A3:F3"/>
    <mergeCell ref="A4:F4"/>
    <mergeCell ref="E5:F5"/>
    <mergeCell ref="A6:A7"/>
    <mergeCell ref="B6:B7"/>
    <mergeCell ref="C6:C7"/>
    <mergeCell ref="F6:F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9">
      <selection activeCell="D33" sqref="D33"/>
    </sheetView>
  </sheetViews>
  <sheetFormatPr defaultColWidth="9.140625" defaultRowHeight="12.75"/>
  <cols>
    <col min="2" max="2" width="48.8515625" style="0" customWidth="1"/>
    <col min="3" max="3" width="9.8515625" style="0" hidden="1" customWidth="1"/>
    <col min="4" max="5" width="13.140625" style="0" bestFit="1" customWidth="1"/>
    <col min="6" max="6" width="16.00390625" style="0" bestFit="1" customWidth="1"/>
    <col min="7" max="7" width="13.140625" style="0" bestFit="1" customWidth="1"/>
  </cols>
  <sheetData>
    <row r="1" spans="1:7" ht="18.75">
      <c r="A1" s="1590" t="s">
        <v>913</v>
      </c>
      <c r="B1" s="1590"/>
      <c r="C1" s="1590"/>
      <c r="D1" s="1590"/>
      <c r="E1" s="1590"/>
      <c r="F1" s="1590"/>
      <c r="G1" s="1590"/>
    </row>
    <row r="2" spans="1:7" ht="18.75">
      <c r="A2" s="1590" t="s">
        <v>914</v>
      </c>
      <c r="B2" s="1590"/>
      <c r="C2" s="1590"/>
      <c r="D2" s="1590"/>
      <c r="E2" s="1590"/>
      <c r="F2" s="1590"/>
      <c r="G2" s="1590"/>
    </row>
    <row r="3" spans="1:7" ht="15" thickBot="1">
      <c r="A3" s="1149"/>
      <c r="B3" s="1149"/>
      <c r="C3" s="1591" t="s">
        <v>441</v>
      </c>
      <c r="D3" s="1591"/>
      <c r="E3" s="1591"/>
      <c r="F3" s="1591"/>
      <c r="G3" s="1591"/>
    </row>
    <row r="4" spans="1:7" ht="16.5" thickBot="1">
      <c r="A4" s="1592" t="s">
        <v>392</v>
      </c>
      <c r="B4" s="1593"/>
      <c r="C4" s="1150">
        <v>2016</v>
      </c>
      <c r="D4" s="1150">
        <v>2018</v>
      </c>
      <c r="E4" s="1150">
        <v>2019</v>
      </c>
      <c r="F4" s="1150">
        <v>2020</v>
      </c>
      <c r="G4" s="1150">
        <v>2021</v>
      </c>
    </row>
    <row r="5" spans="1:7" ht="16.5" hidden="1" thickBot="1">
      <c r="A5" s="1151">
        <v>1</v>
      </c>
      <c r="B5" s="1152">
        <v>2</v>
      </c>
      <c r="C5" s="1153">
        <v>3</v>
      </c>
      <c r="D5" s="1153">
        <v>4</v>
      </c>
      <c r="E5" s="1153">
        <v>5</v>
      </c>
      <c r="F5" s="1153">
        <v>6</v>
      </c>
      <c r="G5" s="1153"/>
    </row>
    <row r="6" spans="1:7" ht="15.75">
      <c r="A6" s="1594" t="s">
        <v>283</v>
      </c>
      <c r="B6" s="1595"/>
      <c r="C6" s="1154"/>
      <c r="D6" s="1154">
        <f>+'1.sz.m-önk.össze.bev'!I8</f>
        <v>19923995</v>
      </c>
      <c r="E6" s="1154">
        <v>19500000</v>
      </c>
      <c r="F6" s="1154">
        <v>19500000</v>
      </c>
      <c r="G6" s="1154">
        <v>19500000</v>
      </c>
    </row>
    <row r="7" spans="1:7" ht="15.75">
      <c r="A7" s="1596" t="s">
        <v>393</v>
      </c>
      <c r="B7" s="1597"/>
      <c r="C7" s="1155"/>
      <c r="D7" s="1155">
        <f>+'1.sz.m-önk.össze.bev'!I13</f>
        <v>165405197</v>
      </c>
      <c r="E7" s="1155">
        <v>160000000</v>
      </c>
      <c r="F7" s="1155">
        <v>160000000</v>
      </c>
      <c r="G7" s="1155">
        <v>160000000</v>
      </c>
    </row>
    <row r="8" spans="1:7" ht="15.75">
      <c r="A8" s="1588" t="s">
        <v>915</v>
      </c>
      <c r="B8" s="1589"/>
      <c r="C8" s="1156"/>
      <c r="D8" s="1156">
        <f>+'1.sz.m-önk.össze.bev'!I55</f>
        <v>25950000</v>
      </c>
      <c r="E8" s="1156">
        <v>0</v>
      </c>
      <c r="F8" s="1156">
        <v>0</v>
      </c>
      <c r="G8" s="1156">
        <v>0</v>
      </c>
    </row>
    <row r="9" spans="1:7" ht="15.75">
      <c r="A9" s="1588" t="s">
        <v>298</v>
      </c>
      <c r="B9" s="1589"/>
      <c r="C9" s="1156"/>
      <c r="D9" s="1156">
        <f>+'1.sz.m-önk.össze.bev'!I20</f>
        <v>1581680</v>
      </c>
      <c r="E9" s="1156">
        <v>1060000</v>
      </c>
      <c r="F9" s="1156">
        <v>1060000</v>
      </c>
      <c r="G9" s="1156">
        <v>1060000</v>
      </c>
    </row>
    <row r="10" spans="1:7" ht="16.5" thickBot="1">
      <c r="A10" s="1588" t="s">
        <v>395</v>
      </c>
      <c r="B10" s="1589"/>
      <c r="C10" s="1157"/>
      <c r="D10" s="1157">
        <f>+'1.sz.m-önk.össze.bev'!I25</f>
        <v>722399</v>
      </c>
      <c r="E10" s="1157">
        <v>1083712</v>
      </c>
      <c r="F10" s="1157">
        <v>1083712</v>
      </c>
      <c r="G10" s="1157">
        <v>1083712</v>
      </c>
    </row>
    <row r="11" spans="1:7" ht="16.5" hidden="1" thickBot="1">
      <c r="A11" s="1158" t="s">
        <v>13</v>
      </c>
      <c r="B11" s="1159" t="s">
        <v>916</v>
      </c>
      <c r="C11" s="1156"/>
      <c r="D11" s="1156"/>
      <c r="E11" s="1156"/>
      <c r="F11" s="1156" t="e">
        <f>E11/C11</f>
        <v>#DIV/0!</v>
      </c>
      <c r="G11" s="1156"/>
    </row>
    <row r="12" spans="1:7" ht="16.5" thickBot="1">
      <c r="A12" s="1580" t="s">
        <v>396</v>
      </c>
      <c r="B12" s="1581"/>
      <c r="C12" s="1160">
        <f>SUM(C6:C11)</f>
        <v>0</v>
      </c>
      <c r="D12" s="1160">
        <f>SUM(D6:D11)</f>
        <v>213583271</v>
      </c>
      <c r="E12" s="1160">
        <f>SUM(E6:E11)</f>
        <v>181643712</v>
      </c>
      <c r="F12" s="1160">
        <f>SUM(F6:F10)</f>
        <v>181643712</v>
      </c>
      <c r="G12" s="1160">
        <f>SUM(G6:G11)</f>
        <v>181643712</v>
      </c>
    </row>
    <row r="13" spans="1:7" ht="16.5" thickBot="1">
      <c r="A13" s="1580" t="s">
        <v>917</v>
      </c>
      <c r="B13" s="1581"/>
      <c r="C13" s="1160">
        <f>C12/2</f>
        <v>0</v>
      </c>
      <c r="D13" s="1160">
        <f>D12/2</f>
        <v>106791635.5</v>
      </c>
      <c r="E13" s="1160">
        <f>E12/2</f>
        <v>90821856</v>
      </c>
      <c r="F13" s="1160">
        <f>F12/2</f>
        <v>90821856</v>
      </c>
      <c r="G13" s="1160">
        <f>G12/2</f>
        <v>90821856</v>
      </c>
    </row>
    <row r="14" spans="1:7" ht="16.5" thickBot="1">
      <c r="A14" s="1580" t="s">
        <v>918</v>
      </c>
      <c r="B14" s="1581"/>
      <c r="C14" s="1160">
        <v>0</v>
      </c>
      <c r="D14" s="1160"/>
      <c r="E14" s="1160">
        <v>0</v>
      </c>
      <c r="F14" s="1160">
        <v>0</v>
      </c>
      <c r="G14" s="1160">
        <v>0</v>
      </c>
    </row>
    <row r="15" spans="1:7" ht="16.5" thickBot="1">
      <c r="A15" s="1584" t="s">
        <v>1458</v>
      </c>
      <c r="B15" s="1585"/>
      <c r="C15" s="1161">
        <v>0</v>
      </c>
      <c r="D15" s="1161"/>
      <c r="E15" s="1161">
        <v>0</v>
      </c>
      <c r="F15" s="1161">
        <v>0</v>
      </c>
      <c r="G15" s="1161">
        <v>0</v>
      </c>
    </row>
    <row r="16" spans="1:7" ht="16.5" thickBot="1">
      <c r="A16" s="1580" t="s">
        <v>919</v>
      </c>
      <c r="B16" s="1581"/>
      <c r="C16" s="1160">
        <v>0</v>
      </c>
      <c r="D16" s="1160"/>
      <c r="E16" s="1160">
        <v>0</v>
      </c>
      <c r="F16" s="1160">
        <v>0</v>
      </c>
      <c r="G16" s="1160">
        <v>0</v>
      </c>
    </row>
    <row r="17" spans="1:7" ht="16.5" thickBot="1">
      <c r="A17" s="1582"/>
      <c r="B17" s="1586"/>
      <c r="C17" s="1586"/>
      <c r="D17" s="1586"/>
      <c r="E17" s="1586"/>
      <c r="F17" s="1586"/>
      <c r="G17" s="1587"/>
    </row>
    <row r="18" spans="1:7" ht="16.5" thickBot="1">
      <c r="A18" s="1580" t="s">
        <v>1457</v>
      </c>
      <c r="B18" s="1581"/>
      <c r="C18" s="1160"/>
      <c r="D18" s="1160"/>
      <c r="E18" s="1160"/>
      <c r="F18" s="1160"/>
      <c r="G18" s="1160"/>
    </row>
    <row r="19" spans="1:7" ht="16.5" thickBot="1">
      <c r="A19" s="1584" t="s">
        <v>920</v>
      </c>
      <c r="B19" s="1585"/>
      <c r="C19" s="1161"/>
      <c r="D19" s="1161">
        <v>0</v>
      </c>
      <c r="E19" s="1161">
        <v>0</v>
      </c>
      <c r="F19" s="1161">
        <v>0</v>
      </c>
      <c r="G19" s="1161">
        <v>0</v>
      </c>
    </row>
    <row r="20" spans="1:7" ht="16.5" thickBot="1">
      <c r="A20" s="1580" t="s">
        <v>921</v>
      </c>
      <c r="B20" s="1581"/>
      <c r="C20" s="1160"/>
      <c r="D20" s="1160">
        <v>0</v>
      </c>
      <c r="E20" s="1160">
        <v>0</v>
      </c>
      <c r="F20" s="1160">
        <v>0</v>
      </c>
      <c r="G20" s="1160">
        <v>0</v>
      </c>
    </row>
    <row r="21" spans="1:7" ht="16.5" thickBot="1">
      <c r="A21" s="1580"/>
      <c r="B21" s="1581"/>
      <c r="C21" s="1160"/>
      <c r="D21" s="1160"/>
      <c r="E21" s="1160"/>
      <c r="F21" s="1160"/>
      <c r="G21" s="1160"/>
    </row>
    <row r="22" spans="1:7" ht="16.5" thickBot="1">
      <c r="A22" s="1580" t="s">
        <v>922</v>
      </c>
      <c r="B22" s="1581"/>
      <c r="C22" s="1160"/>
      <c r="D22" s="1160"/>
      <c r="E22" s="1160"/>
      <c r="F22" s="1160"/>
      <c r="G22" s="1160"/>
    </row>
    <row r="23" spans="1:7" ht="16.5" thickBot="1">
      <c r="A23" s="1584" t="s">
        <v>923</v>
      </c>
      <c r="B23" s="1585"/>
      <c r="C23" s="1160">
        <v>0</v>
      </c>
      <c r="D23" s="1160">
        <f>755935*4</f>
        <v>3023740</v>
      </c>
      <c r="E23" s="1160">
        <f>3*755935-4</f>
        <v>2267801</v>
      </c>
      <c r="F23" s="1160">
        <v>0</v>
      </c>
      <c r="G23" s="1160">
        <v>0</v>
      </c>
    </row>
    <row r="24" spans="1:7" ht="16.5" thickBot="1">
      <c r="A24" s="1584" t="s">
        <v>924</v>
      </c>
      <c r="B24" s="1585"/>
      <c r="C24" s="1160"/>
      <c r="D24" s="1160">
        <v>18154</v>
      </c>
      <c r="E24" s="1160">
        <v>17035</v>
      </c>
      <c r="F24" s="1160">
        <v>0</v>
      </c>
      <c r="G24" s="1160">
        <v>0</v>
      </c>
    </row>
    <row r="25" spans="1:7" ht="16.5" thickBot="1">
      <c r="A25" s="1584" t="s">
        <v>925</v>
      </c>
      <c r="B25" s="1585"/>
      <c r="C25" s="1160"/>
      <c r="D25" s="1160"/>
      <c r="E25" s="1160"/>
      <c r="F25" s="1160"/>
      <c r="G25" s="1160"/>
    </row>
    <row r="26" spans="1:7" ht="16.5" thickBot="1">
      <c r="A26" s="1580" t="s">
        <v>926</v>
      </c>
      <c r="B26" s="1581"/>
      <c r="C26" s="1160">
        <f>SUM(C23:C25)</f>
        <v>0</v>
      </c>
      <c r="D26" s="1160">
        <f>SUM(D23:D25)</f>
        <v>3041894</v>
      </c>
      <c r="E26" s="1160">
        <f>SUM(E23:E25)</f>
        <v>2284836</v>
      </c>
      <c r="F26" s="1160">
        <f>SUM(F23:F25)</f>
        <v>0</v>
      </c>
      <c r="G26" s="1160">
        <f>SUM(G23:G25)</f>
        <v>0</v>
      </c>
    </row>
    <row r="27" spans="1:7" ht="16.5" thickBot="1">
      <c r="A27" s="1582"/>
      <c r="B27" s="1583"/>
      <c r="C27" s="1160"/>
      <c r="D27" s="1160"/>
      <c r="E27" s="1160"/>
      <c r="F27" s="1160"/>
      <c r="G27" s="1160"/>
    </row>
    <row r="28" spans="1:7" ht="16.5" thickBot="1">
      <c r="A28" s="1580" t="s">
        <v>927</v>
      </c>
      <c r="B28" s="1581"/>
      <c r="C28" s="1160"/>
      <c r="D28" s="1160"/>
      <c r="E28" s="1160"/>
      <c r="F28" s="1160"/>
      <c r="G28" s="1160"/>
    </row>
    <row r="29" spans="1:7" ht="16.5" thickBot="1">
      <c r="A29" s="1584" t="s">
        <v>928</v>
      </c>
      <c r="B29" s="1585"/>
      <c r="C29" s="1160">
        <v>0</v>
      </c>
      <c r="D29" s="1160"/>
      <c r="E29" s="1160"/>
      <c r="F29" s="1160"/>
      <c r="G29" s="1160"/>
    </row>
    <row r="30" spans="1:7" ht="16.5" thickBot="1">
      <c r="A30" s="1584" t="s">
        <v>929</v>
      </c>
      <c r="B30" s="1585"/>
      <c r="C30" s="1160"/>
      <c r="D30" s="1160"/>
      <c r="E30" s="1160"/>
      <c r="F30" s="1160"/>
      <c r="G30" s="1160"/>
    </row>
    <row r="31" spans="1:7" ht="16.5" thickBot="1">
      <c r="A31" s="1584" t="s">
        <v>925</v>
      </c>
      <c r="B31" s="1585"/>
      <c r="C31" s="1160"/>
      <c r="D31" s="1160"/>
      <c r="E31" s="1160"/>
      <c r="F31" s="1160"/>
      <c r="G31" s="1160"/>
    </row>
    <row r="32" spans="1:7" ht="16.5" thickBot="1">
      <c r="A32" s="1580" t="s">
        <v>930</v>
      </c>
      <c r="B32" s="1581"/>
      <c r="C32" s="1160">
        <f>SUM(C29:C31)</f>
        <v>0</v>
      </c>
      <c r="D32" s="1160">
        <f>SUM(D29:D31)</f>
        <v>0</v>
      </c>
      <c r="E32" s="1160">
        <f>SUM(E29:E31)</f>
        <v>0</v>
      </c>
      <c r="F32" s="1160">
        <f>SUM(F29:F31)</f>
        <v>0</v>
      </c>
      <c r="G32" s="1160">
        <f>SUM(G29:G31)</f>
        <v>0</v>
      </c>
    </row>
    <row r="33" spans="1:7" ht="16.5" thickBot="1">
      <c r="A33" s="1580" t="s">
        <v>931</v>
      </c>
      <c r="B33" s="1581"/>
      <c r="C33" s="1160">
        <f>C13-C32</f>
        <v>0</v>
      </c>
      <c r="D33" s="1160">
        <f>D13-D32-D26</f>
        <v>103749741.5</v>
      </c>
      <c r="E33" s="1160">
        <f>E13-E32-E26</f>
        <v>88537020</v>
      </c>
      <c r="F33" s="1160">
        <f>F13-F32-F26</f>
        <v>90821856</v>
      </c>
      <c r="G33" s="1160">
        <f>G13-G32-G26</f>
        <v>90821856</v>
      </c>
    </row>
  </sheetData>
  <sheetProtection/>
  <mergeCells count="31">
    <mergeCell ref="A1:G1"/>
    <mergeCell ref="A2:G2"/>
    <mergeCell ref="C3:G3"/>
    <mergeCell ref="A4:B4"/>
    <mergeCell ref="A6:B6"/>
    <mergeCell ref="A7:B7"/>
    <mergeCell ref="A8:B8"/>
    <mergeCell ref="A9:B9"/>
    <mergeCell ref="A10:B10"/>
    <mergeCell ref="A12:B12"/>
    <mergeCell ref="A13:B13"/>
    <mergeCell ref="A14:B14"/>
    <mergeCell ref="A15:B15"/>
    <mergeCell ref="A16:B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3:B33"/>
    <mergeCell ref="A27:B27"/>
    <mergeCell ref="A28:B28"/>
    <mergeCell ref="A29:B29"/>
    <mergeCell ref="A30:B30"/>
    <mergeCell ref="A31:B31"/>
    <mergeCell ref="A32:B32"/>
  </mergeCells>
  <printOptions/>
  <pageMargins left="0.7" right="0.7" top="0.75" bottom="0.75" header="0.3" footer="0.3"/>
  <pageSetup horizontalDpi="600" verticalDpi="600" orientation="portrait" paperSize="9" r:id="rId1"/>
  <headerFooter>
    <oddHeader>&amp;R17.számú melléklet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J54" sqref="A4:J54"/>
    </sheetView>
  </sheetViews>
  <sheetFormatPr defaultColWidth="9.140625" defaultRowHeight="12.75"/>
  <cols>
    <col min="1" max="1" width="59.421875" style="445" customWidth="1"/>
    <col min="2" max="2" width="15.7109375" style="445" customWidth="1"/>
    <col min="3" max="3" width="13.140625" style="445" hidden="1" customWidth="1"/>
    <col min="4" max="4" width="13.28125" style="445" hidden="1" customWidth="1"/>
    <col min="5" max="5" width="14.7109375" style="445" customWidth="1"/>
    <col min="6" max="6" width="15.57421875" style="445" customWidth="1"/>
    <col min="7" max="7" width="16.00390625" style="445" customWidth="1"/>
    <col min="8" max="8" width="12.421875" style="445" bestFit="1" customWidth="1"/>
    <col min="9" max="9" width="16.57421875" style="445" customWidth="1"/>
    <col min="10" max="10" width="13.28125" style="445" customWidth="1"/>
    <col min="11" max="11" width="10.00390625" style="445" bestFit="1" customWidth="1"/>
    <col min="12" max="13" width="10.8515625" style="445" bestFit="1" customWidth="1"/>
    <col min="14" max="16384" width="9.140625" style="445" customWidth="1"/>
  </cols>
  <sheetData>
    <row r="1" spans="1:7" ht="21" customHeight="1">
      <c r="A1" s="1599" t="s">
        <v>932</v>
      </c>
      <c r="B1" s="1599"/>
      <c r="C1" s="1599"/>
      <c r="D1" s="1599"/>
      <c r="E1" s="1599"/>
      <c r="F1" s="1599"/>
      <c r="G1" s="1599"/>
    </row>
    <row r="2" spans="1:7" s="446" customFormat="1" ht="51.75" customHeight="1">
      <c r="A2" s="1598" t="s">
        <v>550</v>
      </c>
      <c r="B2" s="1598"/>
      <c r="C2" s="1598"/>
      <c r="D2" s="1598"/>
      <c r="E2" s="1598"/>
      <c r="F2" s="1598"/>
      <c r="G2" s="1598"/>
    </row>
    <row r="3" spans="1:7" ht="15.75" customHeight="1" thickBot="1">
      <c r="A3" s="447"/>
      <c r="B3" s="1600" t="s">
        <v>443</v>
      </c>
      <c r="C3" s="1600"/>
      <c r="D3" s="1600"/>
      <c r="E3" s="1600"/>
      <c r="F3" s="1600"/>
      <c r="G3" s="1600"/>
    </row>
    <row r="4" spans="1:10" ht="51" customHeight="1" thickBot="1">
      <c r="A4" s="448" t="s">
        <v>250</v>
      </c>
      <c r="B4" s="462" t="s">
        <v>251</v>
      </c>
      <c r="C4" s="462" t="s">
        <v>226</v>
      </c>
      <c r="D4" s="462" t="s">
        <v>231</v>
      </c>
      <c r="E4" s="462" t="s">
        <v>233</v>
      </c>
      <c r="F4" s="1003" t="s">
        <v>703</v>
      </c>
      <c r="G4" s="1003" t="s">
        <v>704</v>
      </c>
      <c r="H4" s="1003" t="s">
        <v>705</v>
      </c>
      <c r="I4" s="1003" t="s">
        <v>707</v>
      </c>
      <c r="J4" s="1003" t="s">
        <v>706</v>
      </c>
    </row>
    <row r="5" spans="1:10" s="450" customFormat="1" ht="21" customHeight="1">
      <c r="A5" s="449" t="s">
        <v>252</v>
      </c>
      <c r="B5" s="463">
        <v>76743202</v>
      </c>
      <c r="C5" s="463">
        <v>76743202</v>
      </c>
      <c r="D5" s="463">
        <v>76743202</v>
      </c>
      <c r="E5" s="463">
        <v>76743202</v>
      </c>
      <c r="F5" s="463">
        <v>76743202</v>
      </c>
      <c r="G5" s="463">
        <v>76743202</v>
      </c>
      <c r="H5" s="463">
        <v>76743202</v>
      </c>
      <c r="I5" s="463"/>
      <c r="J5" s="463">
        <f>+G5-F5</f>
        <v>0</v>
      </c>
    </row>
    <row r="6" spans="1:10" s="450" customFormat="1" ht="21" customHeight="1">
      <c r="A6" s="451" t="s">
        <v>253</v>
      </c>
      <c r="B6" s="464">
        <v>0</v>
      </c>
      <c r="C6" s="464">
        <v>0</v>
      </c>
      <c r="D6" s="464">
        <v>0</v>
      </c>
      <c r="E6" s="464">
        <v>0</v>
      </c>
      <c r="F6" s="464">
        <v>0</v>
      </c>
      <c r="G6" s="464">
        <v>0</v>
      </c>
      <c r="H6" s="464">
        <v>0</v>
      </c>
      <c r="I6" s="464"/>
      <c r="J6" s="464">
        <v>0</v>
      </c>
    </row>
    <row r="7" spans="1:10" s="450" customFormat="1" ht="21" customHeight="1">
      <c r="A7" s="451" t="s">
        <v>254</v>
      </c>
      <c r="B7" s="464">
        <v>0</v>
      </c>
      <c r="C7" s="464">
        <v>0</v>
      </c>
      <c r="D7" s="464">
        <v>0</v>
      </c>
      <c r="E7" s="464">
        <v>0</v>
      </c>
      <c r="F7" s="464">
        <v>0</v>
      </c>
      <c r="G7" s="464">
        <v>0</v>
      </c>
      <c r="H7" s="464">
        <v>0</v>
      </c>
      <c r="I7" s="464"/>
      <c r="J7" s="464">
        <v>0</v>
      </c>
    </row>
    <row r="8" spans="1:10" s="450" customFormat="1" ht="21" customHeight="1">
      <c r="A8" s="451" t="s">
        <v>255</v>
      </c>
      <c r="B8" s="464">
        <v>0</v>
      </c>
      <c r="C8" s="464">
        <v>0</v>
      </c>
      <c r="D8" s="464">
        <v>0</v>
      </c>
      <c r="E8" s="464">
        <v>0</v>
      </c>
      <c r="F8" s="464">
        <v>0</v>
      </c>
      <c r="G8" s="464">
        <v>0</v>
      </c>
      <c r="H8" s="464">
        <v>0</v>
      </c>
      <c r="I8" s="464"/>
      <c r="J8" s="464">
        <v>0</v>
      </c>
    </row>
    <row r="9" spans="1:10" s="450" customFormat="1" ht="21" customHeight="1">
      <c r="A9" s="451" t="s">
        <v>256</v>
      </c>
      <c r="B9" s="464">
        <v>0</v>
      </c>
      <c r="C9" s="464">
        <v>0</v>
      </c>
      <c r="D9" s="464">
        <v>0</v>
      </c>
      <c r="E9" s="464">
        <v>0</v>
      </c>
      <c r="F9" s="464">
        <v>0</v>
      </c>
      <c r="G9" s="464">
        <v>0</v>
      </c>
      <c r="H9" s="464">
        <v>0</v>
      </c>
      <c r="I9" s="464"/>
      <c r="J9" s="464">
        <v>0</v>
      </c>
    </row>
    <row r="10" spans="1:10" s="450" customFormat="1" ht="21" customHeight="1">
      <c r="A10" s="449" t="s">
        <v>257</v>
      </c>
      <c r="B10" s="465">
        <f aca="true" t="shared" si="0" ref="B10:H10">SUM(B6:B9)</f>
        <v>0</v>
      </c>
      <c r="C10" s="465">
        <f t="shared" si="0"/>
        <v>0</v>
      </c>
      <c r="D10" s="465">
        <f t="shared" si="0"/>
        <v>0</v>
      </c>
      <c r="E10" s="465">
        <f t="shared" si="0"/>
        <v>0</v>
      </c>
      <c r="F10" s="465">
        <f t="shared" si="0"/>
        <v>0</v>
      </c>
      <c r="G10" s="465">
        <f t="shared" si="0"/>
        <v>0</v>
      </c>
      <c r="H10" s="465">
        <f t="shared" si="0"/>
        <v>0</v>
      </c>
      <c r="I10" s="465"/>
      <c r="J10" s="465">
        <f>SUM(J6:J9)</f>
        <v>0</v>
      </c>
    </row>
    <row r="11" spans="1:10" s="450" customFormat="1" ht="21" customHeight="1" hidden="1">
      <c r="A11" s="452" t="s">
        <v>258</v>
      </c>
      <c r="B11" s="465"/>
      <c r="C11" s="465"/>
      <c r="D11" s="465"/>
      <c r="E11" s="465"/>
      <c r="F11" s="465"/>
      <c r="G11" s="465"/>
      <c r="H11" s="465"/>
      <c r="I11" s="465"/>
      <c r="J11" s="465"/>
    </row>
    <row r="12" spans="1:10" s="450" customFormat="1" ht="21" customHeight="1">
      <c r="A12" s="449" t="s">
        <v>340</v>
      </c>
      <c r="B12" s="465">
        <v>0</v>
      </c>
      <c r="C12" s="465">
        <v>0</v>
      </c>
      <c r="D12" s="465">
        <v>0</v>
      </c>
      <c r="E12" s="465">
        <v>0</v>
      </c>
      <c r="F12" s="465">
        <v>0</v>
      </c>
      <c r="G12" s="465">
        <v>0</v>
      </c>
      <c r="H12" s="465">
        <v>0</v>
      </c>
      <c r="I12" s="465"/>
      <c r="J12" s="465">
        <v>0</v>
      </c>
    </row>
    <row r="13" spans="1:10" s="450" customFormat="1" ht="21" customHeight="1" hidden="1" thickBot="1">
      <c r="A13" s="449" t="s">
        <v>262</v>
      </c>
      <c r="B13" s="494">
        <v>0</v>
      </c>
      <c r="C13" s="494">
        <v>0</v>
      </c>
      <c r="D13" s="494">
        <v>0</v>
      </c>
      <c r="E13" s="494">
        <v>0</v>
      </c>
      <c r="F13" s="494">
        <v>0</v>
      </c>
      <c r="G13" s="494">
        <v>0</v>
      </c>
      <c r="H13" s="494">
        <v>0</v>
      </c>
      <c r="I13" s="494"/>
      <c r="J13" s="494">
        <v>0</v>
      </c>
    </row>
    <row r="14" spans="1:10" s="450" customFormat="1" ht="21" customHeight="1" thickBot="1">
      <c r="A14" s="686" t="s">
        <v>427</v>
      </c>
      <c r="B14" s="659"/>
      <c r="C14" s="659">
        <v>325496</v>
      </c>
      <c r="D14" s="659">
        <v>325496</v>
      </c>
      <c r="E14" s="659">
        <v>325496</v>
      </c>
      <c r="F14" s="659">
        <v>325496</v>
      </c>
      <c r="G14" s="659">
        <v>325496</v>
      </c>
      <c r="H14" s="659">
        <v>325496</v>
      </c>
      <c r="I14" s="659"/>
      <c r="J14" s="463">
        <f>+G14-F14</f>
        <v>0</v>
      </c>
    </row>
    <row r="15" spans="1:14" s="455" customFormat="1" ht="24.75" customHeight="1" thickBot="1">
      <c r="A15" s="454" t="s">
        <v>339</v>
      </c>
      <c r="B15" s="466">
        <f aca="true" t="shared" si="1" ref="B15:H15">B5+B10-B11+B12+B13+B14</f>
        <v>76743202</v>
      </c>
      <c r="C15" s="466">
        <f t="shared" si="1"/>
        <v>77068698</v>
      </c>
      <c r="D15" s="466">
        <f t="shared" si="1"/>
        <v>77068698</v>
      </c>
      <c r="E15" s="466">
        <f t="shared" si="1"/>
        <v>77068698</v>
      </c>
      <c r="F15" s="466">
        <f t="shared" si="1"/>
        <v>77068698</v>
      </c>
      <c r="G15" s="466">
        <f t="shared" si="1"/>
        <v>77068698</v>
      </c>
      <c r="H15" s="466">
        <f t="shared" si="1"/>
        <v>77068698</v>
      </c>
      <c r="I15" s="466"/>
      <c r="J15" s="466">
        <f>J5+J10-J11+J12+J13+J14</f>
        <v>0</v>
      </c>
      <c r="L15" s="648"/>
      <c r="M15" s="648"/>
      <c r="N15" s="648"/>
    </row>
    <row r="16" spans="1:14" ht="24.75" customHeight="1">
      <c r="A16" s="456" t="s">
        <v>259</v>
      </c>
      <c r="B16" s="463">
        <v>38304600</v>
      </c>
      <c r="C16" s="463">
        <f>38304600+735168</f>
        <v>39039768</v>
      </c>
      <c r="D16" s="463">
        <f>38304600+735168+1031100</f>
        <v>40070868</v>
      </c>
      <c r="E16" s="463">
        <f>18559800+5880000+9427200+2940000+1203000+735168</f>
        <v>38745168</v>
      </c>
      <c r="F16" s="463">
        <f>18559800+5880000+9427200+2940000+1203000+735168</f>
        <v>38745168</v>
      </c>
      <c r="G16" s="463">
        <f>18559800+5880000+9427200+2940000+1203000+735168</f>
        <v>38745168</v>
      </c>
      <c r="H16" s="463">
        <f>18559800+5880000+9427200+2940000+1203000+735168</f>
        <v>38745168</v>
      </c>
      <c r="I16" s="463"/>
      <c r="J16" s="463">
        <f>+G16-F16</f>
        <v>0</v>
      </c>
      <c r="M16" s="689"/>
      <c r="N16" s="648"/>
    </row>
    <row r="17" spans="1:10" ht="24.75" customHeight="1" thickBot="1">
      <c r="A17" s="452" t="s">
        <v>260</v>
      </c>
      <c r="B17" s="465">
        <v>5501133</v>
      </c>
      <c r="C17" s="465">
        <v>5501133</v>
      </c>
      <c r="D17" s="465">
        <f>5501133+245100</f>
        <v>5746233</v>
      </c>
      <c r="E17" s="465">
        <f>3594800+1824633</f>
        <v>5419433</v>
      </c>
      <c r="F17" s="465">
        <f>3594800+1824633</f>
        <v>5419433</v>
      </c>
      <c r="G17" s="465">
        <f>3594800+1824633+27234</f>
        <v>5446667</v>
      </c>
      <c r="H17" s="465">
        <f>3594800+1824633+27234</f>
        <v>5446667</v>
      </c>
      <c r="I17" s="465"/>
      <c r="J17" s="463">
        <f>+G17-F17</f>
        <v>27234</v>
      </c>
    </row>
    <row r="18" spans="1:12" s="455" customFormat="1" ht="24.75" customHeight="1" thickBot="1">
      <c r="A18" s="454" t="s">
        <v>341</v>
      </c>
      <c r="B18" s="467">
        <f aca="true" t="shared" si="2" ref="B18:H18">SUM(B16:B17)</f>
        <v>43805733</v>
      </c>
      <c r="C18" s="467">
        <f t="shared" si="2"/>
        <v>44540901</v>
      </c>
      <c r="D18" s="467">
        <f t="shared" si="2"/>
        <v>45817101</v>
      </c>
      <c r="E18" s="467">
        <f t="shared" si="2"/>
        <v>44164601</v>
      </c>
      <c r="F18" s="467">
        <f t="shared" si="2"/>
        <v>44164601</v>
      </c>
      <c r="G18" s="467">
        <f t="shared" si="2"/>
        <v>44191835</v>
      </c>
      <c r="H18" s="467">
        <f t="shared" si="2"/>
        <v>44191835</v>
      </c>
      <c r="I18" s="467"/>
      <c r="J18" s="467">
        <f>SUM(J16:J17)</f>
        <v>27234</v>
      </c>
      <c r="L18" s="648"/>
    </row>
    <row r="19" spans="1:10" ht="24.75" customHeight="1" hidden="1">
      <c r="A19" s="457" t="s">
        <v>261</v>
      </c>
      <c r="B19" s="468">
        <v>0</v>
      </c>
      <c r="C19" s="468">
        <v>0</v>
      </c>
      <c r="D19" s="468">
        <v>0</v>
      </c>
      <c r="E19" s="468">
        <v>0</v>
      </c>
      <c r="F19" s="468">
        <v>0</v>
      </c>
      <c r="G19" s="468">
        <v>0</v>
      </c>
      <c r="H19" s="468">
        <v>0</v>
      </c>
      <c r="I19" s="468"/>
      <c r="J19" s="468"/>
    </row>
    <row r="20" spans="1:10" ht="24.75" customHeight="1">
      <c r="A20" s="451" t="s">
        <v>446</v>
      </c>
      <c r="B20" s="469">
        <v>20400000</v>
      </c>
      <c r="C20" s="469">
        <v>20400000</v>
      </c>
      <c r="D20" s="469">
        <v>20400000</v>
      </c>
      <c r="E20" s="469">
        <v>20400000</v>
      </c>
      <c r="F20" s="469">
        <v>20400000</v>
      </c>
      <c r="G20" s="469">
        <v>20400000</v>
      </c>
      <c r="H20" s="469">
        <v>20400000</v>
      </c>
      <c r="I20" s="469"/>
      <c r="J20" s="463">
        <f aca="true" t="shared" si="3" ref="J20:J28">+G20-F20</f>
        <v>0</v>
      </c>
    </row>
    <row r="21" spans="1:10" ht="24.75" customHeight="1" hidden="1">
      <c r="A21" s="451" t="s">
        <v>263</v>
      </c>
      <c r="B21" s="469"/>
      <c r="C21" s="469"/>
      <c r="D21" s="469"/>
      <c r="E21" s="469"/>
      <c r="F21" s="469"/>
      <c r="G21" s="469"/>
      <c r="H21" s="469"/>
      <c r="I21" s="469"/>
      <c r="J21" s="463">
        <f t="shared" si="3"/>
        <v>0</v>
      </c>
    </row>
    <row r="22" spans="1:10" ht="24.75" customHeight="1">
      <c r="A22" s="451" t="s">
        <v>447</v>
      </c>
      <c r="B22" s="469">
        <v>15832960</v>
      </c>
      <c r="C22" s="469">
        <v>15832960</v>
      </c>
      <c r="D22" s="469">
        <f>15832960-913440</f>
        <v>14919520</v>
      </c>
      <c r="E22" s="469">
        <v>14006080</v>
      </c>
      <c r="F22" s="469">
        <v>14006080</v>
      </c>
      <c r="G22" s="469">
        <v>14675936</v>
      </c>
      <c r="H22" s="469">
        <v>14675936</v>
      </c>
      <c r="I22" s="469"/>
      <c r="J22" s="463">
        <f t="shared" si="3"/>
        <v>669856</v>
      </c>
    </row>
    <row r="23" spans="1:10" ht="24.75" customHeight="1">
      <c r="A23" s="451" t="s">
        <v>499</v>
      </c>
      <c r="B23" s="469">
        <v>250000</v>
      </c>
      <c r="C23" s="469">
        <v>250000</v>
      </c>
      <c r="D23" s="469">
        <v>250000</v>
      </c>
      <c r="E23" s="469">
        <v>250000</v>
      </c>
      <c r="F23" s="469">
        <v>250000</v>
      </c>
      <c r="G23" s="469">
        <v>275000</v>
      </c>
      <c r="H23" s="469">
        <v>275000</v>
      </c>
      <c r="I23" s="469"/>
      <c r="J23" s="463">
        <f t="shared" si="3"/>
        <v>25000</v>
      </c>
    </row>
    <row r="24" spans="1:10" ht="24.75" customHeight="1">
      <c r="A24" s="451" t="s">
        <v>500</v>
      </c>
      <c r="B24" s="469">
        <v>66495000</v>
      </c>
      <c r="C24" s="469">
        <v>66495000</v>
      </c>
      <c r="D24" s="469">
        <v>66495000</v>
      </c>
      <c r="E24" s="469">
        <v>66495000</v>
      </c>
      <c r="F24" s="469">
        <v>66495000</v>
      </c>
      <c r="G24" s="469">
        <v>65637000</v>
      </c>
      <c r="H24" s="469">
        <v>65637000</v>
      </c>
      <c r="I24" s="469"/>
      <c r="J24" s="463">
        <f t="shared" si="3"/>
        <v>-858000</v>
      </c>
    </row>
    <row r="25" spans="1:10" ht="24.75" customHeight="1">
      <c r="A25" s="451" t="s">
        <v>501</v>
      </c>
      <c r="B25" s="469">
        <v>5616000</v>
      </c>
      <c r="C25" s="469">
        <v>5616000</v>
      </c>
      <c r="D25" s="469">
        <f>5616000-1872000</f>
        <v>3744000</v>
      </c>
      <c r="E25" s="469">
        <v>4212000</v>
      </c>
      <c r="F25" s="469">
        <v>4212000</v>
      </c>
      <c r="G25" s="469">
        <f>360000+3744000</f>
        <v>4104000</v>
      </c>
      <c r="H25" s="469">
        <f>360000+3744000</f>
        <v>4104000</v>
      </c>
      <c r="I25" s="469"/>
      <c r="J25" s="463">
        <f t="shared" si="3"/>
        <v>-108000</v>
      </c>
    </row>
    <row r="26" spans="1:10" ht="24.75" customHeight="1">
      <c r="A26" s="451" t="s">
        <v>448</v>
      </c>
      <c r="B26" s="469">
        <v>2125500</v>
      </c>
      <c r="C26" s="469">
        <v>2125500</v>
      </c>
      <c r="D26" s="469">
        <v>2125500</v>
      </c>
      <c r="E26" s="469">
        <v>1635000</v>
      </c>
      <c r="F26" s="469">
        <v>1635000</v>
      </c>
      <c r="G26" s="469">
        <v>1798500</v>
      </c>
      <c r="H26" s="469">
        <v>1798500</v>
      </c>
      <c r="I26" s="469"/>
      <c r="J26" s="463">
        <f t="shared" si="3"/>
        <v>163500</v>
      </c>
    </row>
    <row r="27" spans="1:10" ht="24.75" customHeight="1">
      <c r="A27" s="687" t="s">
        <v>502</v>
      </c>
      <c r="B27" s="469">
        <v>3400000</v>
      </c>
      <c r="C27" s="469">
        <v>3400000</v>
      </c>
      <c r="D27" s="469">
        <v>3400000</v>
      </c>
      <c r="E27" s="469">
        <v>3400000</v>
      </c>
      <c r="F27" s="469">
        <v>3400000</v>
      </c>
      <c r="G27" s="469">
        <v>3400000</v>
      </c>
      <c r="H27" s="469">
        <v>3400000</v>
      </c>
      <c r="I27" s="469"/>
      <c r="J27" s="463">
        <f t="shared" si="3"/>
        <v>0</v>
      </c>
    </row>
    <row r="28" spans="1:10" ht="32.25" customHeight="1">
      <c r="A28" s="688" t="s">
        <v>503</v>
      </c>
      <c r="B28" s="469">
        <v>5700000</v>
      </c>
      <c r="C28" s="469">
        <v>5700000</v>
      </c>
      <c r="D28" s="469">
        <v>5700000</v>
      </c>
      <c r="E28" s="469">
        <v>6000000</v>
      </c>
      <c r="F28" s="469">
        <v>6000000</v>
      </c>
      <c r="G28" s="469">
        <v>6150000</v>
      </c>
      <c r="H28" s="469">
        <v>6150000</v>
      </c>
      <c r="I28" s="469"/>
      <c r="J28" s="463">
        <f t="shared" si="3"/>
        <v>150000</v>
      </c>
    </row>
    <row r="29" spans="1:10" s="458" customFormat="1" ht="24.75" customHeight="1">
      <c r="A29" s="449" t="s">
        <v>264</v>
      </c>
      <c r="B29" s="471">
        <f aca="true" t="shared" si="4" ref="B29:H29">SUM(B20,B22:B28)</f>
        <v>119819460</v>
      </c>
      <c r="C29" s="471">
        <f t="shared" si="4"/>
        <v>119819460</v>
      </c>
      <c r="D29" s="471">
        <f t="shared" si="4"/>
        <v>117034020</v>
      </c>
      <c r="E29" s="471">
        <f t="shared" si="4"/>
        <v>116398080</v>
      </c>
      <c r="F29" s="471">
        <f t="shared" si="4"/>
        <v>116398080</v>
      </c>
      <c r="G29" s="471">
        <f t="shared" si="4"/>
        <v>116440436</v>
      </c>
      <c r="H29" s="471">
        <f t="shared" si="4"/>
        <v>116440436</v>
      </c>
      <c r="I29" s="471"/>
      <c r="J29" s="471">
        <f>SUM(J20,J22:J28)</f>
        <v>42356</v>
      </c>
    </row>
    <row r="30" spans="1:10" s="458" customFormat="1" ht="24.75" customHeight="1">
      <c r="A30" s="491" t="s">
        <v>344</v>
      </c>
      <c r="B30" s="469">
        <v>12293000</v>
      </c>
      <c r="C30" s="469">
        <v>12293000</v>
      </c>
      <c r="D30" s="469">
        <f>12293000+912000</f>
        <v>13205000</v>
      </c>
      <c r="E30" s="469">
        <v>12749000</v>
      </c>
      <c r="F30" s="469">
        <v>12749000</v>
      </c>
      <c r="G30" s="469">
        <v>12502000</v>
      </c>
      <c r="H30" s="469">
        <v>12502000</v>
      </c>
      <c r="I30" s="469"/>
      <c r="J30" s="463">
        <f>+G30-F30</f>
        <v>-247000</v>
      </c>
    </row>
    <row r="31" spans="1:10" s="458" customFormat="1" ht="24.75" customHeight="1">
      <c r="A31" s="491" t="s">
        <v>343</v>
      </c>
      <c r="B31" s="469">
        <v>3966600</v>
      </c>
      <c r="C31" s="469">
        <v>3966600</v>
      </c>
      <c r="D31" s="469">
        <f>3966600+892170</f>
        <v>4858770</v>
      </c>
      <c r="E31" s="469">
        <v>4853517</v>
      </c>
      <c r="F31" s="469">
        <v>4853517</v>
      </c>
      <c r="G31" s="469">
        <v>4853517</v>
      </c>
      <c r="H31" s="469">
        <v>4853517</v>
      </c>
      <c r="I31" s="469"/>
      <c r="J31" s="463">
        <f>+G31-F31</f>
        <v>0</v>
      </c>
    </row>
    <row r="32" spans="1:10" s="458" customFormat="1" ht="24.75" customHeight="1">
      <c r="A32" s="687" t="s">
        <v>449</v>
      </c>
      <c r="B32" s="640">
        <v>36480</v>
      </c>
      <c r="C32" s="640">
        <v>36480</v>
      </c>
      <c r="D32" s="640">
        <f>36480-1140</f>
        <v>35340</v>
      </c>
      <c r="E32" s="640">
        <v>3420</v>
      </c>
      <c r="F32" s="640">
        <v>3420</v>
      </c>
      <c r="G32" s="640">
        <v>0</v>
      </c>
      <c r="H32" s="640">
        <v>0</v>
      </c>
      <c r="I32" s="640"/>
      <c r="J32" s="463">
        <f>+G32-F32</f>
        <v>-3420</v>
      </c>
    </row>
    <row r="33" spans="1:10" s="458" customFormat="1" ht="24.75" customHeight="1" thickBot="1">
      <c r="A33" s="492" t="s">
        <v>342</v>
      </c>
      <c r="B33" s="493">
        <f aca="true" t="shared" si="5" ref="B33:H33">SUM(B30:B32)</f>
        <v>16296080</v>
      </c>
      <c r="C33" s="493">
        <f t="shared" si="5"/>
        <v>16296080</v>
      </c>
      <c r="D33" s="493">
        <f t="shared" si="5"/>
        <v>18099110</v>
      </c>
      <c r="E33" s="493">
        <f t="shared" si="5"/>
        <v>17605937</v>
      </c>
      <c r="F33" s="493">
        <f t="shared" si="5"/>
        <v>17605937</v>
      </c>
      <c r="G33" s="493">
        <f t="shared" si="5"/>
        <v>17355517</v>
      </c>
      <c r="H33" s="493">
        <f t="shared" si="5"/>
        <v>17355517</v>
      </c>
      <c r="I33" s="493"/>
      <c r="J33" s="493">
        <f>SUM(J30:J32)</f>
        <v>-250420</v>
      </c>
    </row>
    <row r="34" spans="1:10" s="458" customFormat="1" ht="24.75" customHeight="1" thickBot="1">
      <c r="A34" s="660" t="s">
        <v>664</v>
      </c>
      <c r="B34" s="661"/>
      <c r="C34" s="661"/>
      <c r="D34" s="661">
        <v>2993000</v>
      </c>
      <c r="E34" s="661">
        <v>2394400</v>
      </c>
      <c r="F34" s="661">
        <v>2394400</v>
      </c>
      <c r="G34" s="661">
        <v>2394400</v>
      </c>
      <c r="H34" s="661">
        <v>2394400</v>
      </c>
      <c r="I34" s="661"/>
      <c r="J34" s="463">
        <f>+G34-F34</f>
        <v>0</v>
      </c>
    </row>
    <row r="35" spans="1:10" s="458" customFormat="1" ht="24.75" customHeight="1" thickBot="1">
      <c r="A35" s="660" t="s">
        <v>509</v>
      </c>
      <c r="B35" s="661"/>
      <c r="C35" s="661"/>
      <c r="D35" s="661">
        <f>11608465+1140</f>
        <v>11609605</v>
      </c>
      <c r="E35" s="661">
        <v>16954204</v>
      </c>
      <c r="F35" s="661">
        <v>16954204</v>
      </c>
      <c r="G35" s="661">
        <v>16954204</v>
      </c>
      <c r="H35" s="661">
        <v>16954204</v>
      </c>
      <c r="I35" s="661"/>
      <c r="J35" s="463">
        <f>+G35-F35</f>
        <v>0</v>
      </c>
    </row>
    <row r="36" spans="1:12" s="459" customFormat="1" ht="24.75" customHeight="1" thickBot="1">
      <c r="A36" s="454" t="s">
        <v>345</v>
      </c>
      <c r="B36" s="467">
        <f>B19+B29+B33</f>
        <v>136115540</v>
      </c>
      <c r="C36" s="467">
        <f>C19+C29+C33</f>
        <v>136115540</v>
      </c>
      <c r="D36" s="467">
        <f>D19+D29+D33+D34+D35</f>
        <v>149735735</v>
      </c>
      <c r="E36" s="467">
        <f>E19+E29+E33+E34+E35</f>
        <v>153352621</v>
      </c>
      <c r="F36" s="467">
        <f>F19+F29+F33+F34+F35</f>
        <v>153352621</v>
      </c>
      <c r="G36" s="467">
        <f>G19+G29+G33+G34+G35</f>
        <v>153144557</v>
      </c>
      <c r="H36" s="467">
        <f>H19+H29+H33+H34+H35</f>
        <v>153144557</v>
      </c>
      <c r="I36" s="467"/>
      <c r="J36" s="467">
        <f>J19+J29+J33+J34</f>
        <v>-208064</v>
      </c>
      <c r="L36" s="831"/>
    </row>
    <row r="37" spans="1:11" s="458" customFormat="1" ht="24.75" customHeight="1" thickBot="1">
      <c r="A37" s="460" t="s">
        <v>346</v>
      </c>
      <c r="B37" s="470">
        <v>3216180</v>
      </c>
      <c r="C37" s="470">
        <v>3216180</v>
      </c>
      <c r="D37" s="470">
        <v>3216180</v>
      </c>
      <c r="E37" s="470">
        <v>3216180</v>
      </c>
      <c r="F37" s="470">
        <v>3216180</v>
      </c>
      <c r="G37" s="470">
        <v>3216180</v>
      </c>
      <c r="H37" s="470">
        <v>3216180</v>
      </c>
      <c r="I37" s="470"/>
      <c r="J37" s="463">
        <f>+G37-F37</f>
        <v>0</v>
      </c>
      <c r="K37" s="811"/>
    </row>
    <row r="38" spans="1:10" ht="24.75" customHeight="1" hidden="1">
      <c r="A38" s="452" t="s">
        <v>265</v>
      </c>
      <c r="B38" s="471"/>
      <c r="C38" s="471"/>
      <c r="D38" s="471"/>
      <c r="E38" s="471"/>
      <c r="F38" s="471"/>
      <c r="G38" s="471"/>
      <c r="H38" s="471"/>
      <c r="I38" s="471"/>
      <c r="J38" s="471"/>
    </row>
    <row r="39" spans="1:10" ht="24.75" customHeight="1" hidden="1">
      <c r="A39" s="453"/>
      <c r="B39" s="472"/>
      <c r="C39" s="472"/>
      <c r="D39" s="472"/>
      <c r="E39" s="472"/>
      <c r="F39" s="472"/>
      <c r="G39" s="472"/>
      <c r="H39" s="472"/>
      <c r="I39" s="472"/>
      <c r="J39" s="472"/>
    </row>
    <row r="40" spans="1:10" ht="24.75" customHeight="1" hidden="1">
      <c r="A40" s="687" t="s">
        <v>502</v>
      </c>
      <c r="B40" s="640"/>
      <c r="C40" s="640"/>
      <c r="D40" s="640"/>
      <c r="E40" s="640"/>
      <c r="F40" s="640"/>
      <c r="G40" s="640"/>
      <c r="H40" s="640"/>
      <c r="I40" s="472"/>
      <c r="J40" s="472"/>
    </row>
    <row r="41" spans="1:10" ht="33.75" customHeight="1" hidden="1">
      <c r="A41" s="688" t="s">
        <v>503</v>
      </c>
      <c r="B41" s="640"/>
      <c r="C41" s="640"/>
      <c r="D41" s="640"/>
      <c r="E41" s="640"/>
      <c r="F41" s="640"/>
      <c r="G41" s="640"/>
      <c r="H41" s="640"/>
      <c r="I41" s="472"/>
      <c r="J41" s="472"/>
    </row>
    <row r="42" spans="1:10" ht="24.75" customHeight="1" hidden="1">
      <c r="A42" s="453" t="s">
        <v>504</v>
      </c>
      <c r="B42" s="472">
        <f>SUM(B40:B41)</f>
        <v>0</v>
      </c>
      <c r="C42" s="472">
        <f>SUM(C40:C41)</f>
        <v>0</v>
      </c>
      <c r="D42" s="472">
        <f>SUM(D40:D41)</f>
        <v>0</v>
      </c>
      <c r="E42" s="472">
        <f>SUM(E40:E41)</f>
        <v>0</v>
      </c>
      <c r="F42" s="472">
        <f>SUM(F40:F41)</f>
        <v>0</v>
      </c>
      <c r="G42" s="472"/>
      <c r="H42" s="472"/>
      <c r="I42" s="472"/>
      <c r="J42" s="472"/>
    </row>
    <row r="43" spans="1:11" ht="24.75" customHeight="1">
      <c r="A43" s="453" t="s">
        <v>593</v>
      </c>
      <c r="B43" s="472">
        <v>805600</v>
      </c>
      <c r="C43" s="472">
        <v>805600</v>
      </c>
      <c r="D43" s="472">
        <v>805600</v>
      </c>
      <c r="E43" s="472">
        <v>805600</v>
      </c>
      <c r="F43" s="472">
        <v>805600</v>
      </c>
      <c r="G43" s="472">
        <v>805600</v>
      </c>
      <c r="H43" s="472">
        <v>805600</v>
      </c>
      <c r="I43" s="472"/>
      <c r="J43" s="463">
        <f aca="true" t="shared" si="6" ref="J43:J52">+G43-F43</f>
        <v>0</v>
      </c>
      <c r="K43" s="689"/>
    </row>
    <row r="44" spans="1:10" ht="24.75" customHeight="1">
      <c r="A44" s="453" t="s">
        <v>551</v>
      </c>
      <c r="B44" s="472"/>
      <c r="C44" s="472">
        <v>162208</v>
      </c>
      <c r="D44" s="472">
        <f>598919-51146</f>
        <v>547773</v>
      </c>
      <c r="E44" s="472">
        <v>781626</v>
      </c>
      <c r="F44" s="472">
        <v>781626</v>
      </c>
      <c r="G44" s="472">
        <v>781626</v>
      </c>
      <c r="H44" s="472">
        <v>781626</v>
      </c>
      <c r="I44" s="472"/>
      <c r="J44" s="463">
        <f t="shared" si="6"/>
        <v>0</v>
      </c>
    </row>
    <row r="45" spans="1:10" ht="24.75" customHeight="1">
      <c r="A45" s="453" t="s">
        <v>433</v>
      </c>
      <c r="B45" s="472"/>
      <c r="C45" s="472"/>
      <c r="D45" s="472">
        <v>115550</v>
      </c>
      <c r="E45" s="472">
        <v>115550</v>
      </c>
      <c r="F45" s="472">
        <v>115550</v>
      </c>
      <c r="G45" s="472">
        <v>115550</v>
      </c>
      <c r="H45" s="472">
        <v>115550</v>
      </c>
      <c r="I45" s="472"/>
      <c r="J45" s="463">
        <f t="shared" si="6"/>
        <v>0</v>
      </c>
    </row>
    <row r="46" spans="1:10" ht="42" customHeight="1">
      <c r="A46" s="807" t="s">
        <v>647</v>
      </c>
      <c r="B46" s="472"/>
      <c r="C46" s="472">
        <f>230996+702701+242943+228366</f>
        <v>1405006</v>
      </c>
      <c r="D46" s="472">
        <f>230996+702701+242943+228366+441550</f>
        <v>1846556</v>
      </c>
      <c r="E46" s="472">
        <f>2704330-181439</f>
        <v>2522891</v>
      </c>
      <c r="F46" s="472">
        <f>2704330-181439</f>
        <v>2522891</v>
      </c>
      <c r="G46" s="472">
        <f>2704330-181439</f>
        <v>2522891</v>
      </c>
      <c r="H46" s="472">
        <f>2704330-181439</f>
        <v>2522891</v>
      </c>
      <c r="I46" s="472"/>
      <c r="J46" s="463">
        <f t="shared" si="6"/>
        <v>0</v>
      </c>
    </row>
    <row r="47" spans="1:10" ht="30">
      <c r="A47" s="807" t="s">
        <v>648</v>
      </c>
      <c r="B47" s="472"/>
      <c r="C47" s="472">
        <v>533400</v>
      </c>
      <c r="D47" s="472">
        <v>533400</v>
      </c>
      <c r="E47" s="472">
        <v>533400</v>
      </c>
      <c r="F47" s="472">
        <v>533400</v>
      </c>
      <c r="G47" s="472">
        <v>533400</v>
      </c>
      <c r="H47" s="472">
        <v>533400</v>
      </c>
      <c r="I47" s="472"/>
      <c r="J47" s="463">
        <f t="shared" si="6"/>
        <v>0</v>
      </c>
    </row>
    <row r="48" spans="1:10" ht="24.75" customHeight="1">
      <c r="A48" s="453" t="s">
        <v>685</v>
      </c>
      <c r="B48" s="472"/>
      <c r="C48" s="472"/>
      <c r="D48" s="472"/>
      <c r="E48" s="472">
        <v>1536000</v>
      </c>
      <c r="F48" s="472">
        <v>1536000</v>
      </c>
      <c r="G48" s="472">
        <v>1536000</v>
      </c>
      <c r="H48" s="472">
        <v>0</v>
      </c>
      <c r="I48" s="472">
        <v>1536000</v>
      </c>
      <c r="J48" s="463">
        <f t="shared" si="6"/>
        <v>0</v>
      </c>
    </row>
    <row r="49" spans="1:10" ht="24.75" customHeight="1" hidden="1">
      <c r="A49" s="453" t="s">
        <v>433</v>
      </c>
      <c r="B49" s="472"/>
      <c r="C49" s="472"/>
      <c r="D49" s="472"/>
      <c r="E49" s="472"/>
      <c r="F49" s="472"/>
      <c r="G49" s="472"/>
      <c r="H49" s="472"/>
      <c r="I49" s="472"/>
      <c r="J49" s="463">
        <f t="shared" si="6"/>
        <v>0</v>
      </c>
    </row>
    <row r="50" spans="1:10" ht="24.75" customHeight="1" hidden="1">
      <c r="A50" s="453" t="s">
        <v>432</v>
      </c>
      <c r="B50" s="472"/>
      <c r="C50" s="472"/>
      <c r="D50" s="472"/>
      <c r="E50" s="472"/>
      <c r="F50" s="472"/>
      <c r="G50" s="472"/>
      <c r="H50" s="472"/>
      <c r="I50" s="472"/>
      <c r="J50" s="463">
        <f t="shared" si="6"/>
        <v>0</v>
      </c>
    </row>
    <row r="51" spans="1:10" ht="24.75" customHeight="1" hidden="1">
      <c r="A51" s="453" t="s">
        <v>436</v>
      </c>
      <c r="B51" s="472"/>
      <c r="C51" s="472"/>
      <c r="D51" s="472"/>
      <c r="E51" s="472"/>
      <c r="F51" s="472"/>
      <c r="G51" s="472"/>
      <c r="H51" s="472"/>
      <c r="I51" s="472"/>
      <c r="J51" s="463">
        <f t="shared" si="6"/>
        <v>0</v>
      </c>
    </row>
    <row r="52" spans="1:10" ht="24.75" customHeight="1">
      <c r="A52" s="453" t="s">
        <v>686</v>
      </c>
      <c r="B52" s="472"/>
      <c r="C52" s="472"/>
      <c r="D52" s="472"/>
      <c r="E52" s="472">
        <v>2595880</v>
      </c>
      <c r="F52" s="472">
        <v>2595880</v>
      </c>
      <c r="G52" s="472">
        <v>2595880</v>
      </c>
      <c r="H52" s="472">
        <v>2595880</v>
      </c>
      <c r="I52" s="472"/>
      <c r="J52" s="463">
        <f t="shared" si="6"/>
        <v>0</v>
      </c>
    </row>
    <row r="53" spans="1:10" ht="24.75" customHeight="1" hidden="1">
      <c r="A53" s="453" t="s">
        <v>486</v>
      </c>
      <c r="B53" s="472"/>
      <c r="C53" s="472"/>
      <c r="D53" s="472"/>
      <c r="E53" s="472"/>
      <c r="F53" s="472"/>
      <c r="G53" s="472"/>
      <c r="H53" s="472"/>
      <c r="I53" s="472"/>
      <c r="J53" s="472"/>
    </row>
    <row r="54" spans="1:12" s="455" customFormat="1" ht="26.25" customHeight="1" thickBot="1">
      <c r="A54" s="461" t="s">
        <v>25</v>
      </c>
      <c r="B54" s="473">
        <f>B15+B18+B36+B37+B42+B43</f>
        <v>260686255</v>
      </c>
      <c r="C54" s="473">
        <f>C15+C18+C36+C37+C42+C43+C44+C46+C47</f>
        <v>263847533</v>
      </c>
      <c r="D54" s="473">
        <f>D15+D18+D36+D37+D42+D43+D44+D46+D47+D45</f>
        <v>279686593</v>
      </c>
      <c r="E54" s="473">
        <f>E15+E18+E36+E37+E42+E43+E44+E46+E47+E45+E48+E52</f>
        <v>286693047</v>
      </c>
      <c r="F54" s="473">
        <f>F15+F18+F36+F37+F42+F43+F44+F46+F47+F45+F48+F52</f>
        <v>286693047</v>
      </c>
      <c r="G54" s="473">
        <f>G15+G18+G36+G37+G42+G43+G44+G46+G47+G45+G48+G52</f>
        <v>286512217</v>
      </c>
      <c r="H54" s="473">
        <f>H15+H18+H36+H37+H42+H43+H44+H46+H47+H45+H48+H52</f>
        <v>284976217</v>
      </c>
      <c r="I54" s="473">
        <f>I15+I18+I36+I37+I42+I43+I44+I46+I47+I45+I48+I52</f>
        <v>1536000</v>
      </c>
      <c r="J54" s="473">
        <f>J15+J18+J36+J37+J42</f>
        <v>-180830</v>
      </c>
      <c r="K54" s="648"/>
      <c r="L54" s="648"/>
    </row>
    <row r="55" ht="15" hidden="1">
      <c r="B55" s="689">
        <f>'3.sz.m Önk  bev.'!E33</f>
        <v>259880655</v>
      </c>
    </row>
    <row r="56" ht="15" hidden="1">
      <c r="B56" s="689">
        <f>B54-B55</f>
        <v>805600</v>
      </c>
    </row>
    <row r="57" spans="2:5" ht="15">
      <c r="B57" s="689"/>
      <c r="C57" s="689"/>
      <c r="E57" s="689"/>
    </row>
    <row r="58" spans="2:7" ht="15">
      <c r="B58" s="689"/>
      <c r="D58" s="689"/>
      <c r="E58" s="689"/>
      <c r="F58" s="689"/>
      <c r="G58" s="689"/>
    </row>
    <row r="59" spans="2:7" ht="15">
      <c r="B59" s="689"/>
      <c r="C59" s="689"/>
      <c r="D59" s="689"/>
      <c r="G59" s="689"/>
    </row>
    <row r="61" ht="15">
      <c r="D61" s="689"/>
    </row>
  </sheetData>
  <sheetProtection/>
  <mergeCells count="3">
    <mergeCell ref="A2:G2"/>
    <mergeCell ref="A1:G1"/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zoomScalePageLayoutView="0" workbookViewId="0" topLeftCell="A1">
      <selection activeCell="B13" sqref="B13:G13"/>
    </sheetView>
  </sheetViews>
  <sheetFormatPr defaultColWidth="9.140625" defaultRowHeight="12.75"/>
  <cols>
    <col min="1" max="1" width="32.140625" style="1184" customWidth="1"/>
    <col min="2" max="2" width="18.28125" style="1185" customWidth="1"/>
    <col min="3" max="7" width="14.28125" style="1185" customWidth="1"/>
    <col min="8" max="8" width="13.57421875" style="1185" customWidth="1"/>
    <col min="9" max="16384" width="9.140625" style="1185" customWidth="1"/>
  </cols>
  <sheetData>
    <row r="1" spans="6:7" ht="15">
      <c r="F1" s="1601" t="s">
        <v>933</v>
      </c>
      <c r="G1" s="1601"/>
    </row>
    <row r="2" spans="1:7" ht="24.75" customHeight="1">
      <c r="A2" s="1602" t="s">
        <v>410</v>
      </c>
      <c r="B2" s="1602"/>
      <c r="C2" s="1602"/>
      <c r="D2" s="1602"/>
      <c r="E2" s="1602"/>
      <c r="F2" s="1602"/>
      <c r="G2" s="1602"/>
    </row>
    <row r="3" spans="1:7" ht="18.75" customHeight="1">
      <c r="A3" s="1603" t="s">
        <v>552</v>
      </c>
      <c r="B3" s="1603"/>
      <c r="C3" s="1603"/>
      <c r="D3" s="1603"/>
      <c r="E3" s="1603"/>
      <c r="F3" s="1603"/>
      <c r="G3" s="1603"/>
    </row>
    <row r="4" spans="1:7" ht="24.75" customHeight="1">
      <c r="A4" s="1604" t="s">
        <v>411</v>
      </c>
      <c r="B4" s="1604"/>
      <c r="C4" s="1604"/>
      <c r="D4" s="1604"/>
      <c r="E4" s="1604"/>
      <c r="F4" s="1604"/>
      <c r="G4" s="1604"/>
    </row>
    <row r="5" ht="15.75" thickBot="1">
      <c r="G5" s="1186" t="s">
        <v>443</v>
      </c>
    </row>
    <row r="6" spans="1:7" ht="24.75" customHeight="1">
      <c r="A6" s="1605" t="s">
        <v>412</v>
      </c>
      <c r="B6" s="1607" t="s">
        <v>413</v>
      </c>
      <c r="C6" s="1607"/>
      <c r="D6" s="1607"/>
      <c r="E6" s="1608" t="s">
        <v>414</v>
      </c>
      <c r="F6" s="1607"/>
      <c r="G6" s="1609"/>
    </row>
    <row r="7" spans="1:7" ht="24.75" customHeight="1" thickBot="1">
      <c r="A7" s="1606"/>
      <c r="B7" s="1187" t="s">
        <v>415</v>
      </c>
      <c r="C7" s="1187" t="s">
        <v>416</v>
      </c>
      <c r="D7" s="1187" t="s">
        <v>417</v>
      </c>
      <c r="E7" s="1188" t="s">
        <v>415</v>
      </c>
      <c r="F7" s="1187" t="s">
        <v>418</v>
      </c>
      <c r="G7" s="1189" t="s">
        <v>417</v>
      </c>
    </row>
    <row r="8" spans="1:7" ht="33.75" customHeight="1">
      <c r="A8" s="1190" t="s">
        <v>268</v>
      </c>
      <c r="B8" s="1191"/>
      <c r="C8" s="1191">
        <v>27591571</v>
      </c>
      <c r="D8" s="1191">
        <f>SUM(B8:C8)</f>
        <v>27591571</v>
      </c>
      <c r="E8" s="1192">
        <v>744000</v>
      </c>
      <c r="F8" s="1192">
        <v>15190465</v>
      </c>
      <c r="G8" s="1193">
        <f>SUM(E8:F8)</f>
        <v>15934465</v>
      </c>
    </row>
    <row r="9" spans="1:7" ht="33.75" customHeight="1">
      <c r="A9" s="1194" t="s">
        <v>419</v>
      </c>
      <c r="B9" s="1195"/>
      <c r="C9" s="1195"/>
      <c r="D9" s="1191">
        <f>SUM(B9:C9)</f>
        <v>0</v>
      </c>
      <c r="E9" s="1196"/>
      <c r="F9" s="1196"/>
      <c r="G9" s="1193">
        <f>SUM(E9:F9)</f>
        <v>0</v>
      </c>
    </row>
    <row r="10" spans="1:7" ht="33.75" customHeight="1">
      <c r="A10" s="1194" t="s">
        <v>420</v>
      </c>
      <c r="B10" s="1195">
        <v>3592925</v>
      </c>
      <c r="C10" s="1195"/>
      <c r="D10" s="1191">
        <f>SUM(B10:C10)</f>
        <v>3592925</v>
      </c>
      <c r="E10" s="1196">
        <v>104596</v>
      </c>
      <c r="F10" s="1196"/>
      <c r="G10" s="1193">
        <f>SUM(E10:F10)</f>
        <v>104596</v>
      </c>
    </row>
    <row r="11" spans="1:7" ht="33.75" customHeight="1">
      <c r="A11" s="1197" t="s">
        <v>269</v>
      </c>
      <c r="B11" s="1198"/>
      <c r="C11" s="1198"/>
      <c r="D11" s="1191">
        <f>SUM(B11:C11)</f>
        <v>0</v>
      </c>
      <c r="E11" s="1199"/>
      <c r="F11" s="1199"/>
      <c r="G11" s="1193">
        <f>SUM(E11:F11)</f>
        <v>0</v>
      </c>
    </row>
    <row r="12" spans="1:7" ht="33.75" customHeight="1" thickBot="1">
      <c r="A12" s="1200" t="s">
        <v>270</v>
      </c>
      <c r="B12" s="1201"/>
      <c r="C12" s="1201"/>
      <c r="D12" s="1201">
        <f>SUM(B12:C12)</f>
        <v>0</v>
      </c>
      <c r="E12" s="1202"/>
      <c r="F12" s="1202"/>
      <c r="G12" s="1203">
        <f>SUM(E12:F12)</f>
        <v>0</v>
      </c>
    </row>
    <row r="13" spans="1:7" ht="33.75" customHeight="1" thickBot="1">
      <c r="A13" s="1204" t="s">
        <v>1</v>
      </c>
      <c r="B13" s="1205">
        <f aca="true" t="shared" si="0" ref="B13:G13">SUM(B8:B12)</f>
        <v>3592925</v>
      </c>
      <c r="C13" s="1205">
        <f t="shared" si="0"/>
        <v>27591571</v>
      </c>
      <c r="D13" s="1205">
        <f t="shared" si="0"/>
        <v>31184496</v>
      </c>
      <c r="E13" s="1205">
        <f t="shared" si="0"/>
        <v>848596</v>
      </c>
      <c r="F13" s="1205">
        <f t="shared" si="0"/>
        <v>15190465</v>
      </c>
      <c r="G13" s="1206">
        <f t="shared" si="0"/>
        <v>16039061</v>
      </c>
    </row>
    <row r="15" spans="1:7" ht="28.5" customHeight="1">
      <c r="A15" s="1604" t="s">
        <v>421</v>
      </c>
      <c r="B15" s="1604"/>
      <c r="C15" s="1604"/>
      <c r="D15" s="1604"/>
      <c r="E15" s="1604"/>
      <c r="F15" s="1604"/>
      <c r="G15" s="1604"/>
    </row>
    <row r="16" ht="15.75" thickBot="1">
      <c r="E16" s="1186"/>
    </row>
    <row r="17" spans="2:4" ht="19.5" customHeight="1">
      <c r="B17" s="1610" t="s">
        <v>250</v>
      </c>
      <c r="C17" s="1612" t="s">
        <v>422</v>
      </c>
      <c r="D17" s="1613"/>
    </row>
    <row r="18" spans="2:4" ht="30" customHeight="1" thickBot="1">
      <c r="B18" s="1611"/>
      <c r="C18" s="1614"/>
      <c r="D18" s="1615"/>
    </row>
    <row r="19" spans="2:4" ht="29.25" customHeight="1">
      <c r="B19" s="1207" t="s">
        <v>423</v>
      </c>
      <c r="C19" s="1616">
        <v>6097211</v>
      </c>
      <c r="D19" s="1617"/>
    </row>
    <row r="20" spans="2:4" ht="28.5" customHeight="1" hidden="1" thickBot="1">
      <c r="B20" s="1208" t="s">
        <v>424</v>
      </c>
      <c r="C20" s="1618"/>
      <c r="D20" s="1619"/>
    </row>
    <row r="21" spans="2:4" s="1209" customFormat="1" ht="27.75" customHeight="1" thickBot="1">
      <c r="B21" s="1210" t="s">
        <v>1</v>
      </c>
      <c r="C21" s="1620">
        <f>SUM(C19:D20)</f>
        <v>6097211</v>
      </c>
      <c r="D21" s="1621"/>
    </row>
  </sheetData>
  <sheetProtection/>
  <mergeCells count="13">
    <mergeCell ref="A15:G15"/>
    <mergeCell ref="B17:B18"/>
    <mergeCell ref="C17:D18"/>
    <mergeCell ref="C19:D19"/>
    <mergeCell ref="C20:D20"/>
    <mergeCell ref="C21:D21"/>
    <mergeCell ref="F1:G1"/>
    <mergeCell ref="A2:G2"/>
    <mergeCell ref="A3:G3"/>
    <mergeCell ref="A4:G4"/>
    <mergeCell ref="A6:A7"/>
    <mergeCell ref="B6:D6"/>
    <mergeCell ref="E6:G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workbookViewId="0" topLeftCell="A9">
      <selection activeCell="B14" sqref="B14"/>
    </sheetView>
  </sheetViews>
  <sheetFormatPr defaultColWidth="9.140625" defaultRowHeight="12.75"/>
  <cols>
    <col min="1" max="1" width="5.8515625" style="1213" customWidth="1"/>
    <col min="2" max="2" width="42.57421875" style="1212" customWidth="1"/>
    <col min="3" max="8" width="11.00390625" style="1212" customWidth="1"/>
    <col min="9" max="9" width="12.28125" style="1212" customWidth="1"/>
    <col min="10" max="10" width="2.8515625" style="1212" customWidth="1"/>
    <col min="11" max="11" width="9.57421875" style="1212" bestFit="1" customWidth="1"/>
    <col min="12" max="16384" width="9.140625" style="1212" customWidth="1"/>
  </cols>
  <sheetData>
    <row r="1" spans="1:9" ht="27.75" customHeight="1">
      <c r="A1" s="1625" t="s">
        <v>594</v>
      </c>
      <c r="B1" s="1625"/>
      <c r="C1" s="1625"/>
      <c r="D1" s="1625"/>
      <c r="E1" s="1625"/>
      <c r="F1" s="1625"/>
      <c r="G1" s="1625"/>
      <c r="H1" s="1625"/>
      <c r="I1" s="1625"/>
    </row>
    <row r="2" ht="20.25" customHeight="1" thickBot="1">
      <c r="I2" s="1214" t="str">
        <f>'[1]1. sz tájékoztató t.'!E2</f>
        <v>Forintban!</v>
      </c>
    </row>
    <row r="3" spans="1:9" s="1215" customFormat="1" ht="26.25" customHeight="1">
      <c r="A3" s="1626" t="s">
        <v>595</v>
      </c>
      <c r="B3" s="1628" t="s">
        <v>596</v>
      </c>
      <c r="C3" s="1626" t="s">
        <v>597</v>
      </c>
      <c r="D3" s="1630" t="s">
        <v>624</v>
      </c>
      <c r="E3" s="1632" t="s">
        <v>598</v>
      </c>
      <c r="F3" s="1633"/>
      <c r="G3" s="1633"/>
      <c r="H3" s="1634"/>
      <c r="I3" s="1628" t="s">
        <v>1</v>
      </c>
    </row>
    <row r="4" spans="1:9" s="1218" customFormat="1" ht="32.25" customHeight="1" thickBot="1">
      <c r="A4" s="1627"/>
      <c r="B4" s="1629"/>
      <c r="C4" s="1629"/>
      <c r="D4" s="1631"/>
      <c r="E4" s="1216" t="s">
        <v>552</v>
      </c>
      <c r="F4" s="1216" t="s">
        <v>621</v>
      </c>
      <c r="G4" s="1216" t="s">
        <v>622</v>
      </c>
      <c r="H4" s="1217" t="s">
        <v>623</v>
      </c>
      <c r="I4" s="1629"/>
    </row>
    <row r="5" spans="1:9" s="1224" customFormat="1" ht="12.75" customHeight="1" thickBot="1">
      <c r="A5" s="1219" t="s">
        <v>599</v>
      </c>
      <c r="B5" s="1220" t="s">
        <v>15</v>
      </c>
      <c r="C5" s="1221" t="s">
        <v>600</v>
      </c>
      <c r="D5" s="1220" t="s">
        <v>601</v>
      </c>
      <c r="E5" s="1219" t="s">
        <v>602</v>
      </c>
      <c r="F5" s="1221" t="s">
        <v>16</v>
      </c>
      <c r="G5" s="1221" t="s">
        <v>603</v>
      </c>
      <c r="H5" s="1222" t="s">
        <v>583</v>
      </c>
      <c r="I5" s="1223" t="s">
        <v>604</v>
      </c>
    </row>
    <row r="6" spans="1:9" ht="24.75" customHeight="1" thickBot="1">
      <c r="A6" s="1225" t="s">
        <v>27</v>
      </c>
      <c r="B6" s="1225" t="s">
        <v>605</v>
      </c>
      <c r="C6" s="1226"/>
      <c r="D6" s="1227">
        <f>+D7+D8</f>
        <v>0</v>
      </c>
      <c r="E6" s="1228">
        <f>+E7+E8</f>
        <v>0</v>
      </c>
      <c r="F6" s="1229">
        <f>+F7+F8</f>
        <v>0</v>
      </c>
      <c r="G6" s="1229">
        <f>+G7+G8</f>
        <v>0</v>
      </c>
      <c r="H6" s="1230">
        <f>+H7+H8</f>
        <v>0</v>
      </c>
      <c r="I6" s="1231">
        <f aca="true" t="shared" si="0" ref="I6:I26">SUM(D6:H6)</f>
        <v>0</v>
      </c>
    </row>
    <row r="7" spans="1:10" ht="19.5" customHeight="1">
      <c r="A7" s="1232" t="s">
        <v>28</v>
      </c>
      <c r="B7" s="1232" t="s">
        <v>606</v>
      </c>
      <c r="C7" s="1233"/>
      <c r="D7" s="1234"/>
      <c r="E7" s="1235"/>
      <c r="F7" s="1236"/>
      <c r="G7" s="1236"/>
      <c r="H7" s="1237"/>
      <c r="I7" s="1238">
        <f t="shared" si="0"/>
        <v>0</v>
      </c>
      <c r="J7" s="1622"/>
    </row>
    <row r="8" spans="1:10" ht="19.5" customHeight="1" thickBot="1">
      <c r="A8" s="1232" t="s">
        <v>10</v>
      </c>
      <c r="B8" s="1232" t="s">
        <v>606</v>
      </c>
      <c r="C8" s="1233"/>
      <c r="D8" s="1234"/>
      <c r="E8" s="1235"/>
      <c r="F8" s="1236"/>
      <c r="G8" s="1236"/>
      <c r="H8" s="1237"/>
      <c r="I8" s="1238">
        <f t="shared" si="0"/>
        <v>0</v>
      </c>
      <c r="J8" s="1622"/>
    </row>
    <row r="9" spans="1:10" ht="25.5" customHeight="1" thickBot="1">
      <c r="A9" s="1225" t="s">
        <v>11</v>
      </c>
      <c r="B9" s="1225" t="s">
        <v>607</v>
      </c>
      <c r="C9" s="1226"/>
      <c r="D9" s="1227">
        <f>+D10+D11</f>
        <v>0</v>
      </c>
      <c r="E9" s="1228">
        <f>+E10+E11</f>
        <v>3041894</v>
      </c>
      <c r="F9" s="1229">
        <f>+F10+F11</f>
        <v>2284836</v>
      </c>
      <c r="G9" s="1229">
        <f>+G10+G11</f>
        <v>0</v>
      </c>
      <c r="H9" s="1230">
        <f>+H10+H11</f>
        <v>0</v>
      </c>
      <c r="I9" s="1231">
        <f t="shared" si="0"/>
        <v>5326730</v>
      </c>
      <c r="J9" s="1622"/>
    </row>
    <row r="10" spans="1:10" ht="19.5" customHeight="1">
      <c r="A10" s="1232" t="s">
        <v>12</v>
      </c>
      <c r="B10" s="1232" t="s">
        <v>629</v>
      </c>
      <c r="C10" s="1233"/>
      <c r="D10" s="1234"/>
      <c r="E10" s="1235">
        <f>+'14. sz adósság kötelezettség'!C7</f>
        <v>3041894</v>
      </c>
      <c r="F10" s="1236">
        <f>+'14. sz adósság kötelezettség'!D7</f>
        <v>2284836</v>
      </c>
      <c r="G10" s="1236"/>
      <c r="H10" s="1237"/>
      <c r="I10" s="1238">
        <f t="shared" si="0"/>
        <v>5326730</v>
      </c>
      <c r="J10" s="1622"/>
    </row>
    <row r="11" spans="1:10" ht="19.5" customHeight="1" thickBot="1">
      <c r="A11" s="1232" t="s">
        <v>13</v>
      </c>
      <c r="B11" s="1232" t="s">
        <v>606</v>
      </c>
      <c r="C11" s="1233"/>
      <c r="D11" s="1234"/>
      <c r="E11" s="1235"/>
      <c r="F11" s="1236"/>
      <c r="G11" s="1236"/>
      <c r="H11" s="1237"/>
      <c r="I11" s="1238">
        <f t="shared" si="0"/>
        <v>0</v>
      </c>
      <c r="J11" s="1622"/>
    </row>
    <row r="12" spans="1:10" ht="19.5" customHeight="1" thickBot="1">
      <c r="A12" s="1225" t="s">
        <v>14</v>
      </c>
      <c r="B12" s="1225" t="s">
        <v>608</v>
      </c>
      <c r="C12" s="1226"/>
      <c r="D12" s="1227">
        <f>SUM(D13:D16)</f>
        <v>2695424.25</v>
      </c>
      <c r="E12" s="1228">
        <f>SUM(E13:E16)</f>
        <v>94046364.75</v>
      </c>
      <c r="F12" s="1229">
        <f>SUM(F13:F17)</f>
        <v>34003421</v>
      </c>
      <c r="G12" s="1229">
        <f>SUM(G13:G17)</f>
        <v>0</v>
      </c>
      <c r="H12" s="1230">
        <f>SUM(H13:H17)</f>
        <v>0</v>
      </c>
      <c r="I12" s="1231">
        <f>SUM(D12:H12)</f>
        <v>130745210</v>
      </c>
      <c r="J12" s="1622"/>
    </row>
    <row r="13" spans="1:10" ht="79.5" customHeight="1">
      <c r="A13" s="1239" t="s">
        <v>57</v>
      </c>
      <c r="B13" s="1239" t="s">
        <v>687</v>
      </c>
      <c r="C13" s="1240" t="s">
        <v>609</v>
      </c>
      <c r="D13" s="1241"/>
      <c r="E13" s="1242"/>
      <c r="F13" s="1243">
        <v>24439880</v>
      </c>
      <c r="G13" s="1243"/>
      <c r="H13" s="1244"/>
      <c r="I13" s="1245">
        <f t="shared" si="0"/>
        <v>24439880</v>
      </c>
      <c r="J13" s="1622"/>
    </row>
    <row r="14" spans="1:10" ht="22.5" hidden="1">
      <c r="A14" s="1246" t="s">
        <v>58</v>
      </c>
      <c r="B14" s="1246" t="s">
        <v>610</v>
      </c>
      <c r="C14" s="1247" t="s">
        <v>609</v>
      </c>
      <c r="D14" s="1248"/>
      <c r="E14" s="1249"/>
      <c r="F14" s="1250"/>
      <c r="G14" s="1250"/>
      <c r="H14" s="1251"/>
      <c r="I14" s="1238">
        <f t="shared" si="0"/>
        <v>0</v>
      </c>
      <c r="J14" s="1622"/>
    </row>
    <row r="15" spans="1:10" ht="12.75">
      <c r="A15" s="1246" t="s">
        <v>58</v>
      </c>
      <c r="B15" s="1246" t="s">
        <v>612</v>
      </c>
      <c r="C15" s="1247" t="s">
        <v>609</v>
      </c>
      <c r="D15" s="1248">
        <f>+'23. sz. m. EU '!G23</f>
        <v>1536700</v>
      </c>
      <c r="E15" s="1249">
        <v>67394668</v>
      </c>
      <c r="F15" s="1211">
        <v>9563541</v>
      </c>
      <c r="G15" s="1250"/>
      <c r="H15" s="1251"/>
      <c r="I15" s="1238">
        <f t="shared" si="0"/>
        <v>78494909</v>
      </c>
      <c r="J15" s="1622"/>
    </row>
    <row r="16" spans="1:10" ht="12.75">
      <c r="A16" s="1246" t="s">
        <v>403</v>
      </c>
      <c r="B16" s="1232" t="s">
        <v>613</v>
      </c>
      <c r="C16" s="1247" t="s">
        <v>609</v>
      </c>
      <c r="D16" s="1234">
        <f>+'23. sz. m. EU '!F14+'23. sz. m. EU '!G14</f>
        <v>1158724.25</v>
      </c>
      <c r="E16" s="1235">
        <f>+'23. sz. m. EU '!H17</f>
        <v>26651696.75</v>
      </c>
      <c r="F16" s="1250">
        <f>+'23. sz. m. EU '!I23</f>
        <v>0</v>
      </c>
      <c r="G16" s="1250"/>
      <c r="H16" s="1251"/>
      <c r="I16" s="1238">
        <f t="shared" si="0"/>
        <v>27810421</v>
      </c>
      <c r="J16" s="1622"/>
    </row>
    <row r="17" spans="1:10" ht="13.5" thickBot="1">
      <c r="A17" s="1232" t="s">
        <v>405</v>
      </c>
      <c r="B17" s="1252" t="s">
        <v>606</v>
      </c>
      <c r="C17" s="1253"/>
      <c r="D17" s="1254"/>
      <c r="E17" s="1255"/>
      <c r="F17" s="1256"/>
      <c r="G17" s="1256"/>
      <c r="H17" s="1257"/>
      <c r="I17" s="1258">
        <f t="shared" si="0"/>
        <v>0</v>
      </c>
      <c r="J17" s="1622"/>
    </row>
    <row r="18" spans="1:10" ht="19.5" customHeight="1" thickBot="1">
      <c r="A18" s="1225" t="s">
        <v>406</v>
      </c>
      <c r="B18" s="1225" t="s">
        <v>614</v>
      </c>
      <c r="C18" s="1226"/>
      <c r="D18" s="1227">
        <f>SUM(D19:D23)</f>
        <v>58187115</v>
      </c>
      <c r="E18" s="1228">
        <f>SUM(E19:E23)</f>
        <v>155174971</v>
      </c>
      <c r="F18" s="1229">
        <f>SUM(F19:F22)</f>
        <v>54502229</v>
      </c>
      <c r="G18" s="1230">
        <f>SUM(G19:G22)</f>
        <v>0</v>
      </c>
      <c r="H18" s="1230">
        <f>+H19</f>
        <v>0</v>
      </c>
      <c r="I18" s="1231">
        <f t="shared" si="0"/>
        <v>267864315</v>
      </c>
      <c r="J18" s="1622"/>
    </row>
    <row r="19" spans="1:10" ht="28.5" customHeight="1">
      <c r="A19" s="1259" t="s">
        <v>407</v>
      </c>
      <c r="B19" s="1259" t="s">
        <v>615</v>
      </c>
      <c r="C19" s="1260" t="s">
        <v>609</v>
      </c>
      <c r="D19" s="1261">
        <f>+'23. sz. m. EU '!F9+'23. sz. m. EU '!G9</f>
        <v>3810000</v>
      </c>
      <c r="E19" s="1262">
        <f>133188305-25999156</f>
        <v>107189149</v>
      </c>
      <c r="F19" s="1263">
        <v>22189156</v>
      </c>
      <c r="G19" s="1263"/>
      <c r="H19" s="1264"/>
      <c r="I19" s="1245">
        <f>SUM(D19:H19)</f>
        <v>133188305</v>
      </c>
      <c r="J19" s="1622"/>
    </row>
    <row r="20" spans="1:10" ht="19.5" customHeight="1">
      <c r="A20" s="1232" t="s">
        <v>408</v>
      </c>
      <c r="B20" s="1246" t="s">
        <v>611</v>
      </c>
      <c r="C20" s="1233" t="s">
        <v>625</v>
      </c>
      <c r="D20" s="1248">
        <f>1759483+227642+500000+274050+475061+61464</f>
        <v>3297700</v>
      </c>
      <c r="E20" s="1249">
        <f>+'6.a.sz.m.fejlesztés (4)'!J32</f>
        <v>8440619</v>
      </c>
      <c r="F20" s="1236"/>
      <c r="G20" s="1236"/>
      <c r="H20" s="1237"/>
      <c r="I20" s="1238">
        <f>SUM(D20:H20)</f>
        <v>11738319</v>
      </c>
      <c r="J20" s="1622"/>
    </row>
    <row r="21" spans="1:10" ht="19.5" customHeight="1">
      <c r="A21" s="1232" t="s">
        <v>409</v>
      </c>
      <c r="B21" s="1246" t="s">
        <v>576</v>
      </c>
      <c r="C21" s="1233" t="s">
        <v>625</v>
      </c>
      <c r="D21" s="1234">
        <f>25323215-E21</f>
        <v>17138585</v>
      </c>
      <c r="E21" s="1235">
        <f>'6.a.sz.m.fejlesztés (4)'!G33</f>
        <v>8184630</v>
      </c>
      <c r="F21" s="1236"/>
      <c r="G21" s="1236"/>
      <c r="H21" s="1237"/>
      <c r="I21" s="1238">
        <f>SUM(D21:H21)</f>
        <v>25323215</v>
      </c>
      <c r="J21" s="1622"/>
    </row>
    <row r="22" spans="1:10" ht="19.5" customHeight="1">
      <c r="A22" s="1232" t="s">
        <v>616</v>
      </c>
      <c r="B22" s="1246" t="s">
        <v>626</v>
      </c>
      <c r="C22" s="1233" t="s">
        <v>625</v>
      </c>
      <c r="D22" s="1234"/>
      <c r="E22" s="1235"/>
      <c r="F22" s="1236">
        <f>'6.a.sz.m.fejlesztés (4)'!G34</f>
        <v>32313073</v>
      </c>
      <c r="G22" s="1236"/>
      <c r="H22" s="1237"/>
      <c r="I22" s="1238">
        <f>SUM(D22:H22)</f>
        <v>32313073</v>
      </c>
      <c r="J22" s="1622"/>
    </row>
    <row r="23" spans="1:10" ht="19.5" customHeight="1" thickBot="1">
      <c r="A23" s="1252" t="s">
        <v>617</v>
      </c>
      <c r="B23" s="1265" t="s">
        <v>688</v>
      </c>
      <c r="C23" s="1266" t="s">
        <v>625</v>
      </c>
      <c r="D23" s="1267">
        <v>33940830</v>
      </c>
      <c r="E23" s="1268">
        <f>+'6.a.sz.m.fejlesztés (4)'!G31</f>
        <v>31360573</v>
      </c>
      <c r="F23" s="1269"/>
      <c r="G23" s="1269"/>
      <c r="H23" s="1270"/>
      <c r="I23" s="1258">
        <f>SUM(D23:H23)</f>
        <v>65301403</v>
      </c>
      <c r="J23" s="1622"/>
    </row>
    <row r="24" spans="1:10" ht="19.5" customHeight="1" thickBot="1">
      <c r="A24" s="1225" t="s">
        <v>619</v>
      </c>
      <c r="B24" s="1225" t="s">
        <v>618</v>
      </c>
      <c r="C24" s="1226"/>
      <c r="D24" s="1227">
        <f>+D26</f>
        <v>0</v>
      </c>
      <c r="E24" s="1228">
        <f>+E26+E25</f>
        <v>17893857</v>
      </c>
      <c r="F24" s="1228">
        <f>+F26+F25</f>
        <v>72302967</v>
      </c>
      <c r="G24" s="1228">
        <f>+G26+G25</f>
        <v>4751177</v>
      </c>
      <c r="H24" s="1230">
        <f>+H26</f>
        <v>0</v>
      </c>
      <c r="I24" s="1231">
        <f t="shared" si="0"/>
        <v>94948001</v>
      </c>
      <c r="J24" s="1622"/>
    </row>
    <row r="25" spans="1:10" ht="26.25" customHeight="1">
      <c r="A25" s="1271" t="s">
        <v>620</v>
      </c>
      <c r="B25" s="1232" t="s">
        <v>1462</v>
      </c>
      <c r="C25" s="1240" t="s">
        <v>1463</v>
      </c>
      <c r="D25" s="1241"/>
      <c r="E25" s="1235">
        <v>17893857</v>
      </c>
      <c r="F25" s="1236">
        <v>72302967</v>
      </c>
      <c r="G25" s="1236">
        <v>4751177</v>
      </c>
      <c r="H25" s="1237"/>
      <c r="I25" s="1238">
        <f t="shared" si="0"/>
        <v>94948001</v>
      </c>
      <c r="J25" s="1622"/>
    </row>
    <row r="26" spans="1:10" ht="20.25" customHeight="1" thickBot="1">
      <c r="A26" s="1232" t="s">
        <v>627</v>
      </c>
      <c r="B26" s="1232" t="s">
        <v>606</v>
      </c>
      <c r="C26" s="1272"/>
      <c r="D26" s="1267"/>
      <c r="E26" s="1268"/>
      <c r="F26" s="1269"/>
      <c r="G26" s="1269"/>
      <c r="H26" s="1270"/>
      <c r="I26" s="1258">
        <f t="shared" si="0"/>
        <v>0</v>
      </c>
      <c r="J26" s="1622"/>
    </row>
    <row r="27" spans="1:10" ht="19.5" customHeight="1" thickBot="1">
      <c r="A27" s="1623" t="s">
        <v>628</v>
      </c>
      <c r="B27" s="1624"/>
      <c r="C27" s="1273"/>
      <c r="D27" s="1227">
        <f aca="true" t="shared" si="1" ref="D27:I27">+D6+D9+D12+D18+D24</f>
        <v>60882539.25</v>
      </c>
      <c r="E27" s="1228">
        <f t="shared" si="1"/>
        <v>270157086.75</v>
      </c>
      <c r="F27" s="1229">
        <f t="shared" si="1"/>
        <v>163093453</v>
      </c>
      <c r="G27" s="1229">
        <f t="shared" si="1"/>
        <v>4751177</v>
      </c>
      <c r="H27" s="1230">
        <f t="shared" si="1"/>
        <v>0</v>
      </c>
      <c r="I27" s="1231">
        <f t="shared" si="1"/>
        <v>498884256</v>
      </c>
      <c r="J27" s="1622"/>
    </row>
  </sheetData>
  <sheetProtection/>
  <mergeCells count="9">
    <mergeCell ref="J7:J27"/>
    <mergeCell ref="A27:B27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76" r:id="rId1"/>
  <headerFooter alignWithMargins="0">
    <oddHeader>&amp;R20. számú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7"/>
  </sheetPr>
  <dimension ref="A1:C13"/>
  <sheetViews>
    <sheetView workbookViewId="0" topLeftCell="A1">
      <selection activeCell="A2" sqref="A2"/>
    </sheetView>
  </sheetViews>
  <sheetFormatPr defaultColWidth="60.421875" defaultRowHeight="12.75"/>
  <cols>
    <col min="1" max="1" width="60.421875" style="0" customWidth="1"/>
    <col min="2" max="2" width="5.57421875" style="0" customWidth="1"/>
    <col min="3" max="3" width="11.00390625" style="0" customWidth="1"/>
    <col min="4" max="4" width="14.8515625" style="0" customWidth="1"/>
    <col min="5" max="255" width="10.7109375" style="0" customWidth="1"/>
  </cols>
  <sheetData>
    <row r="1" spans="1:3" ht="15.75">
      <c r="A1" s="1639" t="s">
        <v>1464</v>
      </c>
      <c r="B1" s="1639"/>
      <c r="C1" s="1004"/>
    </row>
    <row r="2" spans="1:3" ht="15.75">
      <c r="A2" s="1005"/>
      <c r="B2" s="1005"/>
      <c r="C2" s="1004"/>
    </row>
    <row r="3" spans="1:3" ht="15.75">
      <c r="A3" s="1005"/>
      <c r="B3" s="1005"/>
      <c r="C3" s="1004"/>
    </row>
    <row r="4" spans="1:3" ht="15.75">
      <c r="A4" s="1005"/>
      <c r="B4" s="1005"/>
      <c r="C4" s="1004"/>
    </row>
    <row r="5" spans="1:3" ht="13.5" thickBot="1">
      <c r="A5" s="1640" t="s">
        <v>474</v>
      </c>
      <c r="B5" s="1640"/>
      <c r="C5" s="1640"/>
    </row>
    <row r="6" spans="1:3" ht="28.5" customHeight="1">
      <c r="A6" s="1006" t="s">
        <v>708</v>
      </c>
      <c r="B6" s="1641" t="s">
        <v>709</v>
      </c>
      <c r="C6" s="1642"/>
    </row>
    <row r="7" spans="1:3" ht="12.75">
      <c r="A7" s="1007" t="s">
        <v>710</v>
      </c>
      <c r="B7" s="1635">
        <v>11580000</v>
      </c>
      <c r="C7" s="1636"/>
    </row>
    <row r="8" spans="1:3" ht="12.75" hidden="1">
      <c r="A8" s="1007" t="s">
        <v>711</v>
      </c>
      <c r="B8" s="1635"/>
      <c r="C8" s="1636"/>
    </row>
    <row r="9" spans="1:3" ht="12.75" hidden="1">
      <c r="A9" s="1007"/>
      <c r="B9" s="1635"/>
      <c r="C9" s="1636"/>
    </row>
    <row r="10" spans="1:3" ht="12.75" hidden="1">
      <c r="A10" s="1007"/>
      <c r="B10" s="1635"/>
      <c r="C10" s="1636"/>
    </row>
    <row r="11" spans="1:3" ht="12.75" hidden="1">
      <c r="A11" s="1007"/>
      <c r="B11" s="1635"/>
      <c r="C11" s="1636"/>
    </row>
    <row r="12" spans="2:3" ht="13.5" thickBot="1">
      <c r="B12" s="1637">
        <f>B7+B8+B9+B10+B11</f>
        <v>11580000</v>
      </c>
      <c r="C12" s="1638"/>
    </row>
    <row r="13" spans="1:3" ht="15.75">
      <c r="A13" s="1004"/>
      <c r="B13" s="1008"/>
      <c r="C13" s="1004"/>
    </row>
  </sheetData>
  <sheetProtection selectLockedCells="1" selectUnlockedCells="1"/>
  <mergeCells count="9">
    <mergeCell ref="B10:C10"/>
    <mergeCell ref="B11:C11"/>
    <mergeCell ref="B12:C12"/>
    <mergeCell ref="A1:B1"/>
    <mergeCell ref="A5:C5"/>
    <mergeCell ref="B6:C6"/>
    <mergeCell ref="B7:C7"/>
    <mergeCell ref="B8:C8"/>
    <mergeCell ref="B9:C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94" r:id="rId1"/>
  <headerFooter alignWithMargins="0">
    <oddHeader>&amp;R21. számú melléklet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="85" zoomScaleNormal="85" workbookViewId="0" topLeftCell="B1">
      <selection activeCell="H36" sqref="H36"/>
    </sheetView>
  </sheetViews>
  <sheetFormatPr defaultColWidth="9.140625" defaultRowHeight="12.75"/>
  <cols>
    <col min="1" max="1" width="47.8515625" style="10" bestFit="1" customWidth="1"/>
    <col min="2" max="2" width="19.8515625" style="10" customWidth="1"/>
    <col min="3" max="3" width="18.57421875" style="10" hidden="1" customWidth="1"/>
    <col min="4" max="4" width="20.57421875" style="10" hidden="1" customWidth="1"/>
    <col min="5" max="5" width="19.57421875" style="10" customWidth="1"/>
    <col min="6" max="6" width="19.421875" style="10" customWidth="1"/>
    <col min="7" max="7" width="18.421875" style="10" customWidth="1"/>
    <col min="8" max="8" width="43.57421875" style="10" bestFit="1" customWidth="1"/>
    <col min="9" max="9" width="21.8515625" style="10" customWidth="1"/>
    <col min="10" max="10" width="18.28125" style="10" hidden="1" customWidth="1"/>
    <col min="11" max="11" width="18.421875" style="10" hidden="1" customWidth="1"/>
    <col min="12" max="12" width="19.28125" style="10" customWidth="1"/>
    <col min="13" max="13" width="18.421875" style="10" customWidth="1"/>
    <col min="14" max="14" width="19.00390625" style="10" customWidth="1"/>
    <col min="15" max="15" width="13.28125" style="10" customWidth="1"/>
    <col min="16" max="16384" width="9.140625" style="10" customWidth="1"/>
  </cols>
  <sheetData>
    <row r="1" spans="8:13" ht="12.75">
      <c r="H1" s="1429" t="s">
        <v>561</v>
      </c>
      <c r="I1" s="1429"/>
      <c r="J1" s="1429"/>
      <c r="K1" s="1429"/>
      <c r="L1" s="1429"/>
      <c r="M1" s="1429"/>
    </row>
    <row r="2" spans="1:9" ht="19.5">
      <c r="A2" s="1426" t="s">
        <v>20</v>
      </c>
      <c r="B2" s="1426"/>
      <c r="C2" s="1426"/>
      <c r="D2" s="1426"/>
      <c r="E2" s="1426"/>
      <c r="F2" s="1426"/>
      <c r="G2" s="1426"/>
      <c r="H2" s="1426"/>
      <c r="I2" s="1426"/>
    </row>
    <row r="3" spans="1:9" ht="11.25" customHeight="1">
      <c r="A3" s="34"/>
      <c r="B3" s="34"/>
      <c r="C3" s="34"/>
      <c r="D3" s="34"/>
      <c r="E3" s="34"/>
      <c r="F3" s="34"/>
      <c r="G3" s="34"/>
      <c r="H3" s="34"/>
      <c r="I3" s="33" t="s">
        <v>443</v>
      </c>
    </row>
    <row r="4" spans="1:9" ht="17.25" customHeight="1" thickBot="1">
      <c r="A4" s="1427" t="s">
        <v>197</v>
      </c>
      <c r="B4" s="1428"/>
      <c r="C4" s="1428"/>
      <c r="D4" s="1428"/>
      <c r="E4" s="1428"/>
      <c r="F4" s="1428"/>
      <c r="G4" s="1428"/>
      <c r="H4" s="1427"/>
      <c r="I4" s="1428"/>
    </row>
    <row r="5" spans="1:14" ht="33" customHeight="1" thickBot="1">
      <c r="A5" s="252" t="s">
        <v>7</v>
      </c>
      <c r="B5" s="321" t="s">
        <v>229</v>
      </c>
      <c r="C5" s="322" t="s">
        <v>227</v>
      </c>
      <c r="D5" s="322" t="s">
        <v>230</v>
      </c>
      <c r="E5" s="322" t="s">
        <v>232</v>
      </c>
      <c r="F5" s="322" t="s">
        <v>235</v>
      </c>
      <c r="G5" s="323" t="s">
        <v>236</v>
      </c>
      <c r="H5" s="290" t="s">
        <v>8</v>
      </c>
      <c r="I5" s="321" t="s">
        <v>229</v>
      </c>
      <c r="J5" s="322" t="s">
        <v>227</v>
      </c>
      <c r="K5" s="322" t="s">
        <v>230</v>
      </c>
      <c r="L5" s="322" t="s">
        <v>232</v>
      </c>
      <c r="M5" s="322" t="s">
        <v>235</v>
      </c>
      <c r="N5" s="323" t="s">
        <v>236</v>
      </c>
    </row>
    <row r="6" spans="1:14" ht="12.75">
      <c r="A6" s="254" t="s">
        <v>329</v>
      </c>
      <c r="B6" s="324">
        <f>'3.sz.m Önk  bev.'!E7</f>
        <v>183340000</v>
      </c>
      <c r="C6" s="324">
        <f>'3.sz.m Önk  bev.'!F7</f>
        <v>183340000</v>
      </c>
      <c r="D6" s="324">
        <f>'3.sz.m Önk  bev.'!G7</f>
        <v>183340000</v>
      </c>
      <c r="E6" s="324">
        <f>'3.sz.m Önk  bev.'!H7</f>
        <v>203047851</v>
      </c>
      <c r="F6" s="324">
        <f>'3.sz.m Önk  bev.'!I7</f>
        <v>200819772</v>
      </c>
      <c r="G6" s="940">
        <f>+F6/E6</f>
        <v>0.9890268279667732</v>
      </c>
      <c r="H6" s="310" t="s">
        <v>174</v>
      </c>
      <c r="I6" s="332">
        <f>'4.sz.m.ÖNK kiadás'!E7+'5.1 sz. m Köz Hiv'!D35+'5.2 sz. m ÁMK'!D38+'üres lap'!D27</f>
        <v>213283530</v>
      </c>
      <c r="J6" s="332">
        <f>'4.sz.m.ÖNK kiadás'!F7+'5.1 sz. m Köz Hiv'!E35+'5.2 sz. m ÁMK'!E38+'üres lap'!E27</f>
        <v>215357518</v>
      </c>
      <c r="K6" s="332">
        <f>'4.sz.m.ÖNK kiadás'!G7+'5.1 sz. m Köz Hiv'!F35+'5.2 sz. m ÁMK'!F38+'üres lap'!F27</f>
        <v>217891446</v>
      </c>
      <c r="L6" s="332">
        <f>'4.sz.m.ÖNK kiadás'!H7+'5.1 sz. m Köz Hiv'!G35+'5.2 sz. m ÁMK'!G38+'üres lap'!G27</f>
        <v>211212257</v>
      </c>
      <c r="M6" s="332">
        <f>'4.sz.m.ÖNK kiadás'!I7+'5.1 sz. m Köz Hiv'!H35+'5.2 sz. m ÁMK'!H38+'üres lap'!H27</f>
        <v>185017968</v>
      </c>
      <c r="N6" s="936">
        <f aca="true" t="shared" si="0" ref="N6:N19">+M6/L6</f>
        <v>0.8759812078519666</v>
      </c>
    </row>
    <row r="7" spans="1:14" ht="12.75">
      <c r="A7" s="255" t="s">
        <v>330</v>
      </c>
      <c r="B7" s="325">
        <f>'3.sz.m Önk  bev.'!E21+'5.1 sz. m Köz Hiv'!D9+'5.2 sz. m ÁMK'!D9</f>
        <v>75823101</v>
      </c>
      <c r="C7" s="325">
        <f>'3.sz.m Önk  bev.'!F21+'5.1 sz. m Köz Hiv'!E9+'5.2 sz. m ÁMK'!E9</f>
        <v>76412216</v>
      </c>
      <c r="D7" s="325">
        <f>'3.sz.m Önk  bev.'!G21+'5.1 sz. m Köz Hiv'!F9+'5.2 sz. m ÁMK'!F9</f>
        <v>63983373</v>
      </c>
      <c r="E7" s="325">
        <f>'3.sz.m Önk  bev.'!H21+'5.1 sz. m Köz Hiv'!G9+'5.2 sz. m ÁMK'!G9</f>
        <v>52897890</v>
      </c>
      <c r="F7" s="325">
        <f>'3.sz.m Önk  bev.'!I21+'5.1 sz. m Köz Hiv'!H9+'5.2 sz. m ÁMK'!H9</f>
        <v>52542043</v>
      </c>
      <c r="G7" s="937">
        <f aca="true" t="shared" si="1" ref="G7:G32">+F7/E7</f>
        <v>0.9932729452913907</v>
      </c>
      <c r="H7" s="311" t="s">
        <v>175</v>
      </c>
      <c r="I7" s="325">
        <f>'4.sz.m.ÖNK kiadás'!E8+'5.1 sz. m Köz Hiv'!D36+'5.2 sz. m ÁMK'!D39+'üres lap'!D28</f>
        <v>44215522</v>
      </c>
      <c r="J7" s="325">
        <f>'4.sz.m.ÖNK kiadás'!F8+'5.1 sz. m Köz Hiv'!E36+'5.2 sz. m ÁMK'!E39+'üres lap'!E28</f>
        <v>44575431</v>
      </c>
      <c r="K7" s="325">
        <f>'4.sz.m.ÖNK kiadás'!G8+'5.1 sz. m Köz Hiv'!F36+'5.2 sz. m ÁMK'!F39+'üres lap'!F28</f>
        <v>45182658</v>
      </c>
      <c r="L7" s="325">
        <f>'4.sz.m.ÖNK kiadás'!H8+'5.1 sz. m Köz Hiv'!G36+'5.2 sz. m ÁMK'!G39+'üres lap'!G28</f>
        <v>43933397</v>
      </c>
      <c r="M7" s="325">
        <f>'4.sz.m.ÖNK kiadás'!I8+'5.1 sz. m Köz Hiv'!H36+'5.2 sz. m ÁMK'!H39+'üres lap'!H28</f>
        <v>37326024</v>
      </c>
      <c r="N7" s="937">
        <f t="shared" si="0"/>
        <v>0.8496047778868545</v>
      </c>
    </row>
    <row r="8" spans="1:14" ht="25.5">
      <c r="A8" s="255" t="s">
        <v>331</v>
      </c>
      <c r="B8" s="325">
        <f>'3.sz.m Önk  bev.'!E32+'5.1 sz. m Köz Hiv'!D15+'5.2 sz. m ÁMK'!D18</f>
        <v>365623014</v>
      </c>
      <c r="C8" s="325">
        <f>'3.sz.m Önk  bev.'!F32+'5.1 sz. m Köz Hiv'!E15+'5.2 sz. m ÁMK'!E18</f>
        <v>371513041</v>
      </c>
      <c r="D8" s="325">
        <f>'3.sz.m Önk  bev.'!G32+'5.1 sz. m Köz Hiv'!F15+'5.2 sz. m ÁMK'!F18</f>
        <v>389151960</v>
      </c>
      <c r="E8" s="325">
        <f>'3.sz.m Önk  bev.'!H32+'5.1 sz. m Köz Hiv'!G15+'5.2 sz. m ÁMK'!G18</f>
        <v>399506797</v>
      </c>
      <c r="F8" s="325">
        <f>'3.sz.m Önk  bev.'!I32+'5.1 sz. m Köz Hiv'!H15+'5.2 sz. m ÁMK'!H18</f>
        <v>350441356</v>
      </c>
      <c r="G8" s="937">
        <f t="shared" si="1"/>
        <v>0.8771849656415233</v>
      </c>
      <c r="H8" s="311" t="s">
        <v>176</v>
      </c>
      <c r="I8" s="325">
        <f>'4.sz.m.ÖNK kiadás'!E9+'5.1 sz. m Köz Hiv'!D37+'5.2 sz. m ÁMK'!D40+'üres lap'!D29</f>
        <v>179846281</v>
      </c>
      <c r="J8" s="325">
        <f>'4.sz.m.ÖNK kiadás'!F9+'5.1 sz. m Köz Hiv'!E37+'5.2 sz. m ÁMK'!E40+'üres lap'!E29</f>
        <v>185693268</v>
      </c>
      <c r="K8" s="325">
        <f>'4.sz.m.ÖNK kiadás'!G9+'5.1 sz. m Köz Hiv'!F37+'5.2 sz. m ÁMK'!F40+'üres lap'!F29</f>
        <v>190706345</v>
      </c>
      <c r="L8" s="325">
        <f>'4.sz.m.ÖNK kiadás'!H9+'5.1 sz. m Köz Hiv'!G37+'5.2 sz. m ÁMK'!G40+'üres lap'!G29</f>
        <v>253941314</v>
      </c>
      <c r="M8" s="325">
        <f>'4.sz.m.ÖNK kiadás'!I9+'5.1 sz. m Köz Hiv'!H37+'5.2 sz. m ÁMK'!H40+'üres lap'!H29</f>
        <v>131025090</v>
      </c>
      <c r="N8" s="937">
        <f t="shared" si="0"/>
        <v>0.51596602355141</v>
      </c>
    </row>
    <row r="9" spans="1:14" ht="12.75">
      <c r="A9" s="255" t="s">
        <v>332</v>
      </c>
      <c r="B9" s="325">
        <f>'3.sz.m Önk  bev.'!E50+'5.1 sz. m Köz Hiv'!D21+'5.2 sz. m ÁMK'!D24</f>
        <v>60000</v>
      </c>
      <c r="C9" s="325">
        <f>'3.sz.m Önk  bev.'!F50+'5.1 sz. m Köz Hiv'!E21+'5.2 sz. m ÁMK'!E24</f>
        <v>60000</v>
      </c>
      <c r="D9" s="325">
        <f>'3.sz.m Önk  bev.'!G50+'5.1 sz. m Köz Hiv'!F21+'5.2 sz. m ÁMK'!F24</f>
        <v>60000</v>
      </c>
      <c r="E9" s="325">
        <f>'3.sz.m Önk  bev.'!H50+'5.1 sz. m Köz Hiv'!G21+'5.2 sz. m ÁMK'!G24</f>
        <v>75000</v>
      </c>
      <c r="F9" s="325">
        <f>'3.sz.m Önk  bev.'!I50+'5.1 sz. m Köz Hiv'!H21+'5.2 sz. m ÁMK'!H24</f>
        <v>75000</v>
      </c>
      <c r="G9" s="937">
        <f t="shared" si="1"/>
        <v>1</v>
      </c>
      <c r="H9" s="311" t="s">
        <v>177</v>
      </c>
      <c r="I9" s="325">
        <f>'4.sz.m.ÖNK kiadás'!E10+'5.1 sz. m Köz Hiv'!D38+'5.2 sz. m ÁMK'!D41+'üres lap'!D30</f>
        <v>2250000</v>
      </c>
      <c r="J9" s="325">
        <f>'4.sz.m.ÖNK kiadás'!F10+'5.1 sz. m Köz Hiv'!E38+'5.2 sz. m ÁMK'!E41+'üres lap'!E30</f>
        <v>2250000</v>
      </c>
      <c r="K9" s="325">
        <f>'4.sz.m.ÖNK kiadás'!G10+'5.1 sz. m Köz Hiv'!F38+'5.2 sz. m ÁMK'!F41+'üres lap'!F30</f>
        <v>2401000</v>
      </c>
      <c r="L9" s="325">
        <f>'4.sz.m.ÖNK kiadás'!H10+'5.1 sz. m Köz Hiv'!G38+'5.2 sz. m ÁMK'!G41+'üres lap'!G30</f>
        <v>2564000</v>
      </c>
      <c r="M9" s="325">
        <f>'4.sz.m.ÖNK kiadás'!I10+'5.1 sz. m Köz Hiv'!H38+'5.2 sz. m ÁMK'!H41+'üres lap'!H30</f>
        <v>1614000</v>
      </c>
      <c r="N9" s="937">
        <f t="shared" si="0"/>
        <v>0.6294851794071763</v>
      </c>
    </row>
    <row r="10" spans="1:15" ht="12.75">
      <c r="A10" s="255"/>
      <c r="B10" s="325"/>
      <c r="C10" s="325"/>
      <c r="D10" s="325"/>
      <c r="E10" s="325"/>
      <c r="F10" s="325"/>
      <c r="G10" s="937"/>
      <c r="H10" s="311" t="s">
        <v>178</v>
      </c>
      <c r="I10" s="325">
        <f>'4.sz.m.ÖNK kiadás'!E11+'5.1 sz. m Köz Hiv'!D39+'5.2 sz. m ÁMK'!D42+'üres lap'!D31</f>
        <v>160213102</v>
      </c>
      <c r="J10" s="325">
        <f>'4.sz.m.ÖNK kiadás'!F11+'5.1 sz. m Köz Hiv'!E39+'5.2 sz. m ÁMK'!E42+'üres lap'!E31</f>
        <v>159773553</v>
      </c>
      <c r="K10" s="325">
        <f>'4.sz.m.ÖNK kiadás'!G11+'5.1 sz. m Köz Hiv'!F39+'5.2 sz. m ÁMK'!F42+'üres lap'!F31</f>
        <v>157018113</v>
      </c>
      <c r="L10" s="325">
        <f>'4.sz.m.ÖNK kiadás'!H11+'5.1 sz. m Köz Hiv'!G39+'5.2 sz. m ÁMK'!G42+'üres lap'!G31</f>
        <v>148370329</v>
      </c>
      <c r="M10" s="325">
        <f>'4.sz.m.ÖNK kiadás'!I11+'5.1 sz. m Köz Hiv'!H39+'5.2 sz. m ÁMK'!H42+'üres lap'!H31</f>
        <v>148370329</v>
      </c>
      <c r="N10" s="937">
        <f t="shared" si="0"/>
        <v>1</v>
      </c>
      <c r="O10" s="15"/>
    </row>
    <row r="11" spans="1:14" ht="12.75">
      <c r="A11" s="255"/>
      <c r="B11" s="325"/>
      <c r="C11" s="325"/>
      <c r="D11" s="325"/>
      <c r="E11" s="325"/>
      <c r="F11" s="325"/>
      <c r="G11" s="937"/>
      <c r="H11" s="311" t="s">
        <v>179</v>
      </c>
      <c r="I11" s="325">
        <f>'4.sz.m.ÖNK kiadás'!E25</f>
        <v>41388231</v>
      </c>
      <c r="J11" s="325">
        <f>'4.sz.m.ÖNK kiadás'!F25</f>
        <v>17607622</v>
      </c>
      <c r="K11" s="325">
        <f>'4.sz.m.ÖNK kiadás'!G25</f>
        <v>4977707</v>
      </c>
      <c r="L11" s="325">
        <f>'4.sz.m.ÖNK kiadás'!H25</f>
        <v>0</v>
      </c>
      <c r="M11" s="325">
        <f>'4.sz.m.ÖNK kiadás'!I25</f>
        <v>0</v>
      </c>
      <c r="N11" s="937"/>
    </row>
    <row r="12" spans="1:14" ht="12.75" hidden="1">
      <c r="A12" s="256"/>
      <c r="B12" s="326"/>
      <c r="C12" s="326"/>
      <c r="D12" s="326"/>
      <c r="E12" s="326"/>
      <c r="F12" s="326"/>
      <c r="G12" s="938" t="e">
        <f t="shared" si="1"/>
        <v>#DIV/0!</v>
      </c>
      <c r="H12" s="312"/>
      <c r="I12" s="326"/>
      <c r="J12" s="326"/>
      <c r="K12" s="326"/>
      <c r="L12" s="326"/>
      <c r="M12" s="326"/>
      <c r="N12" s="938" t="e">
        <f t="shared" si="0"/>
        <v>#DIV/0!</v>
      </c>
    </row>
    <row r="13" spans="1:14" ht="16.5" customHeight="1" hidden="1" thickBot="1">
      <c r="A13" s="257"/>
      <c r="B13" s="327"/>
      <c r="C13" s="327"/>
      <c r="D13" s="327"/>
      <c r="E13" s="327"/>
      <c r="F13" s="327"/>
      <c r="G13" s="947" t="e">
        <f t="shared" si="1"/>
        <v>#DIV/0!</v>
      </c>
      <c r="H13" s="313"/>
      <c r="I13" s="327"/>
      <c r="J13" s="327"/>
      <c r="K13" s="327"/>
      <c r="L13" s="327"/>
      <c r="M13" s="327"/>
      <c r="N13" s="947" t="e">
        <f t="shared" si="0"/>
        <v>#DIV/0!</v>
      </c>
    </row>
    <row r="14" spans="1:14" ht="24" customHeight="1" thickBot="1">
      <c r="A14" s="258" t="s">
        <v>181</v>
      </c>
      <c r="B14" s="328">
        <f>SUM(B6:B9)</f>
        <v>624846115</v>
      </c>
      <c r="C14" s="328">
        <f>SUM(C6:C9)</f>
        <v>631325257</v>
      </c>
      <c r="D14" s="328">
        <f>SUM(D6:D9)</f>
        <v>636535333</v>
      </c>
      <c r="E14" s="328">
        <f>SUM(E6:E9)</f>
        <v>655527538</v>
      </c>
      <c r="F14" s="328">
        <f>SUM(F6:F9)</f>
        <v>603878171</v>
      </c>
      <c r="G14" s="948">
        <f t="shared" si="1"/>
        <v>0.9212094625992662</v>
      </c>
      <c r="H14" s="486" t="s">
        <v>182</v>
      </c>
      <c r="I14" s="328">
        <f>SUM(I6:I13)</f>
        <v>641196666</v>
      </c>
      <c r="J14" s="328">
        <f>SUM(J6:J13)</f>
        <v>625257392</v>
      </c>
      <c r="K14" s="328">
        <f>SUM(K6:K13)</f>
        <v>618177269</v>
      </c>
      <c r="L14" s="328">
        <f>SUM(L6:L13)</f>
        <v>660021297</v>
      </c>
      <c r="M14" s="328">
        <f>SUM(M6:M13)</f>
        <v>503353411</v>
      </c>
      <c r="N14" s="948">
        <f t="shared" si="0"/>
        <v>0.7626320745828903</v>
      </c>
    </row>
    <row r="15" spans="1:14" ht="18.75" customHeight="1">
      <c r="A15" s="259" t="s">
        <v>450</v>
      </c>
      <c r="B15" s="253">
        <f>'3.sz.m Önk  bev.'!E59+'5.1 sz. m Köz Hiv'!D26+'5.2 sz. m ÁMK'!D29-B27</f>
        <v>26114931</v>
      </c>
      <c r="C15" s="253">
        <f>'3.sz.m Önk  bev.'!F59+'5.1 sz. m Köz Hiv'!E26+'5.2 sz. m ÁMK'!E29-C27</f>
        <v>26114931</v>
      </c>
      <c r="D15" s="253">
        <f>'3.sz.m Önk  bev.'!G59+'5.1 sz. m Köz Hiv'!F26+'5.2 sz. m ÁMK'!F29-D27</f>
        <v>25781541</v>
      </c>
      <c r="E15" s="253">
        <f>'3.sz.m Önk  bev.'!H59+'5.1 sz. m Köz Hiv'!G26+'5.2 sz. m ÁMK'!G29-E27</f>
        <v>25781541</v>
      </c>
      <c r="F15" s="253">
        <f>'3.sz.m Önk  bev.'!I59+'5.1 sz. m Köz Hiv'!H26+'5.2 sz. m ÁMK'!H29-F27</f>
        <v>25781541</v>
      </c>
      <c r="G15" s="949">
        <f t="shared" si="1"/>
        <v>1</v>
      </c>
      <c r="H15" s="310" t="s">
        <v>456</v>
      </c>
      <c r="I15" s="324">
        <f>'4.sz.m.ÖNK kiadás'!E34</f>
        <v>29500000</v>
      </c>
      <c r="J15" s="324">
        <f>'4.sz.m.ÖNK kiadás'!F34</f>
        <v>0</v>
      </c>
      <c r="K15" s="324">
        <f>'4.sz.m.ÖNK kiadás'!G34</f>
        <v>0</v>
      </c>
      <c r="L15" s="324">
        <f>'4.sz.m.ÖNK kiadás'!H34</f>
        <v>0</v>
      </c>
      <c r="M15" s="324">
        <f>'4.sz.m.ÖNK kiadás'!I34</f>
        <v>0</v>
      </c>
      <c r="N15" s="940"/>
    </row>
    <row r="16" spans="1:14" ht="18.75" customHeight="1">
      <c r="A16" s="259" t="s">
        <v>505</v>
      </c>
      <c r="B16" s="767">
        <f>'3.sz.m Önk  bev.'!E58</f>
        <v>29500000</v>
      </c>
      <c r="C16" s="767">
        <f>'3.sz.m Önk  bev.'!F58</f>
        <v>29500000</v>
      </c>
      <c r="D16" s="767">
        <f>'3.sz.m Önk  bev.'!G58</f>
        <v>29500000</v>
      </c>
      <c r="E16" s="767">
        <f>'3.sz.m Önk  bev.'!H58</f>
        <v>29500000</v>
      </c>
      <c r="F16" s="767">
        <f>'3.sz.m Önk  bev.'!I58</f>
        <v>29500000</v>
      </c>
      <c r="G16" s="950">
        <f t="shared" si="1"/>
        <v>1</v>
      </c>
      <c r="H16" s="312" t="s">
        <v>425</v>
      </c>
      <c r="I16" s="326">
        <f>'4.sz.m.ÖNK kiadás'!E36</f>
        <v>9764380</v>
      </c>
      <c r="J16" s="326">
        <f>'4.sz.m.ÖNK kiadás'!F36</f>
        <v>9764380</v>
      </c>
      <c r="K16" s="326">
        <f>'4.sz.m.ÖNK kiadás'!G36</f>
        <v>9764380</v>
      </c>
      <c r="L16" s="326">
        <f>'4.sz.m.ÖNK kiadás'!H36</f>
        <v>9764380</v>
      </c>
      <c r="M16" s="326">
        <f>'4.sz.m.ÖNK kiadás'!I36</f>
        <v>9764380</v>
      </c>
      <c r="N16" s="938">
        <f t="shared" si="0"/>
        <v>1</v>
      </c>
    </row>
    <row r="17" spans="1:14" ht="15" customHeight="1" thickBot="1">
      <c r="A17" s="260" t="s">
        <v>440</v>
      </c>
      <c r="B17" s="329"/>
      <c r="C17" s="329"/>
      <c r="D17" s="329"/>
      <c r="E17" s="329">
        <f>'3.sz.m Önk  bev.'!H57</f>
        <v>10312557</v>
      </c>
      <c r="F17" s="329">
        <f>'3.sz.m Önk  bev.'!I57</f>
        <v>10312557</v>
      </c>
      <c r="G17" s="951">
        <f t="shared" si="1"/>
        <v>1</v>
      </c>
      <c r="H17" s="312"/>
      <c r="I17" s="326"/>
      <c r="J17" s="326"/>
      <c r="K17" s="326"/>
      <c r="L17" s="326"/>
      <c r="M17" s="326"/>
      <c r="N17" s="938"/>
    </row>
    <row r="18" spans="1:14" ht="25.5" customHeight="1" thickBot="1">
      <c r="A18" s="261" t="s">
        <v>186</v>
      </c>
      <c r="B18" s="330">
        <f>SUM(B15:B17)</f>
        <v>55614931</v>
      </c>
      <c r="C18" s="330">
        <f>SUM(C15:C17)</f>
        <v>55614931</v>
      </c>
      <c r="D18" s="330">
        <f>SUM(D15:D17)</f>
        <v>55281541</v>
      </c>
      <c r="E18" s="330">
        <f>SUM(E15:E17)</f>
        <v>65594098</v>
      </c>
      <c r="F18" s="330">
        <f>SUM(F15:F17)</f>
        <v>65594098</v>
      </c>
      <c r="G18" s="942">
        <f t="shared" si="1"/>
        <v>1</v>
      </c>
      <c r="H18" s="314" t="s">
        <v>193</v>
      </c>
      <c r="I18" s="330">
        <f>SUM(I15:I17)</f>
        <v>39264380</v>
      </c>
      <c r="J18" s="330">
        <f>SUM(J15:J17)</f>
        <v>9764380</v>
      </c>
      <c r="K18" s="330">
        <f>SUM(K15:K17)</f>
        <v>9764380</v>
      </c>
      <c r="L18" s="330">
        <f>SUM(L15:L17)</f>
        <v>9764380</v>
      </c>
      <c r="M18" s="330">
        <f>SUM(M15:M17)</f>
        <v>9764380</v>
      </c>
      <c r="N18" s="942">
        <f t="shared" si="0"/>
        <v>1</v>
      </c>
    </row>
    <row r="19" spans="1:14" ht="22.5" customHeight="1" thickBot="1">
      <c r="A19" s="262" t="s">
        <v>167</v>
      </c>
      <c r="B19" s="331">
        <f>B14+B18</f>
        <v>680461046</v>
      </c>
      <c r="C19" s="331">
        <f>C14+C18</f>
        <v>686940188</v>
      </c>
      <c r="D19" s="331">
        <f>D14+D18</f>
        <v>691816874</v>
      </c>
      <c r="E19" s="331">
        <f>E14+E18</f>
        <v>721121636</v>
      </c>
      <c r="F19" s="331">
        <f>F14+F18</f>
        <v>669472269</v>
      </c>
      <c r="G19" s="939">
        <f t="shared" si="1"/>
        <v>0.9283763453742775</v>
      </c>
      <c r="H19" s="315" t="s">
        <v>168</v>
      </c>
      <c r="I19" s="331">
        <f>I14+I18</f>
        <v>680461046</v>
      </c>
      <c r="J19" s="331">
        <f>J14+J18</f>
        <v>635021772</v>
      </c>
      <c r="K19" s="331">
        <f>K14+K18</f>
        <v>627941649</v>
      </c>
      <c r="L19" s="331">
        <f>L14+L18</f>
        <v>669785677</v>
      </c>
      <c r="M19" s="331">
        <f>M14+M18</f>
        <v>513117791</v>
      </c>
      <c r="N19" s="939">
        <f t="shared" si="0"/>
        <v>0.7660925108137241</v>
      </c>
    </row>
    <row r="20" spans="1:11" ht="22.5" customHeight="1" thickBot="1">
      <c r="A20" s="1427" t="s">
        <v>198</v>
      </c>
      <c r="B20" s="1428"/>
      <c r="C20" s="1428"/>
      <c r="D20" s="1428"/>
      <c r="E20" s="1428"/>
      <c r="F20" s="1428"/>
      <c r="G20" s="1428"/>
      <c r="H20" s="1427"/>
      <c r="I20" s="1428"/>
      <c r="J20" s="15"/>
      <c r="K20" s="15"/>
    </row>
    <row r="21" spans="1:16" ht="25.5">
      <c r="A21" s="254" t="s">
        <v>169</v>
      </c>
      <c r="B21" s="332">
        <f>'3.sz.m Önk  bev.'!E41</f>
        <v>23488680</v>
      </c>
      <c r="C21" s="332">
        <f>'3.sz.m Önk  bev.'!F41</f>
        <v>23488680</v>
      </c>
      <c r="D21" s="332">
        <f>'3.sz.m Önk  bev.'!G41</f>
        <v>23488680</v>
      </c>
      <c r="E21" s="332">
        <f>'3.sz.m Önk  bev.'!H41</f>
        <v>23382000</v>
      </c>
      <c r="F21" s="332">
        <f>'3.sz.m Önk  bev.'!I41+'5.1 sz. m Köz Hiv'!H18+'5.2 sz. m ÁMK'!H21</f>
        <v>23382000</v>
      </c>
      <c r="G21" s="936">
        <f t="shared" si="1"/>
        <v>1</v>
      </c>
      <c r="H21" s="316" t="s">
        <v>171</v>
      </c>
      <c r="I21" s="332">
        <f>'4.sz.m.ÖNK kiadás'!E18+'5.1 sz. m Köz Hiv'!D41+'5.2 sz. m ÁMK'!D44</f>
        <v>99350473</v>
      </c>
      <c r="J21" s="332">
        <f>'4.sz.m.ÖNK kiadás'!F18+'5.1 sz. m Köz Hiv'!E41+'5.2 sz. m ÁMK'!E44</f>
        <v>123934285</v>
      </c>
      <c r="K21" s="332">
        <f>'4.sz.m.ÖNK kiadás'!G18+'5.1 sz. m Köz Hiv'!F41+'5.2 sz. m ÁMK'!F44</f>
        <v>125624324</v>
      </c>
      <c r="L21" s="332">
        <f>'4.sz.m.ÖNK kiadás'!H18+'5.1 sz. m Köz Hiv'!G41+'5.2 sz. m ÁMK'!G44</f>
        <v>110604558</v>
      </c>
      <c r="M21" s="332">
        <f>'4.sz.m.ÖNK kiadás'!I18+'5.1 sz. m Köz Hiv'!H41+'5.2 sz. m ÁMK'!H44</f>
        <v>93013374</v>
      </c>
      <c r="N21" s="936">
        <f aca="true" t="shared" si="2" ref="N21:N32">+M21/L21</f>
        <v>0.8409542579610507</v>
      </c>
      <c r="O21" s="15"/>
      <c r="P21" s="15"/>
    </row>
    <row r="22" spans="1:15" ht="25.5">
      <c r="A22" s="255" t="s">
        <v>458</v>
      </c>
      <c r="B22" s="325">
        <v>0</v>
      </c>
      <c r="C22" s="325">
        <f>+'3.sz.m Önk  bev.'!F51</f>
        <v>1000000</v>
      </c>
      <c r="D22" s="325">
        <f>+'3.sz.m Önk  bev.'!G51</f>
        <v>1000000</v>
      </c>
      <c r="E22" s="325">
        <f>+'3.sz.m Önk  bev.'!H51</f>
        <v>11624300</v>
      </c>
      <c r="F22" s="325">
        <f>'3.sz.m Önk  bev.'!I51</f>
        <v>11624300</v>
      </c>
      <c r="G22" s="937">
        <f t="shared" si="1"/>
        <v>1</v>
      </c>
      <c r="H22" s="311" t="s">
        <v>172</v>
      </c>
      <c r="I22" s="325">
        <f>'4.sz.m.ÖNK kiadás'!E19</f>
        <v>236308322</v>
      </c>
      <c r="J22" s="325">
        <f>'4.sz.m.ÖNK kiadás'!F19</f>
        <v>263592926</v>
      </c>
      <c r="K22" s="325">
        <f>'4.sz.m.ÖNK kiadás'!G19</f>
        <v>273223309</v>
      </c>
      <c r="L22" s="325">
        <f>'4.sz.m.ÖNK kiadás'!H19</f>
        <v>286221429</v>
      </c>
      <c r="M22" s="325">
        <f>'4.sz.m.ÖNK kiadás'!I19+'5.2 sz. m ÁMK'!H46</f>
        <v>219383915</v>
      </c>
      <c r="N22" s="937">
        <f t="shared" si="2"/>
        <v>0.7664831936814905</v>
      </c>
      <c r="O22" s="15"/>
    </row>
    <row r="23" spans="1:14" ht="12.75">
      <c r="A23" s="255" t="s">
        <v>170</v>
      </c>
      <c r="B23" s="325">
        <f>'3.sz.m Önk  bev.'!E53</f>
        <v>25000000</v>
      </c>
      <c r="C23" s="325">
        <f>'3.sz.m Önk  bev.'!F53</f>
        <v>25950000</v>
      </c>
      <c r="D23" s="325">
        <f>'3.sz.m Önk  bev.'!G53</f>
        <v>25950000</v>
      </c>
      <c r="E23" s="325">
        <f>'3.sz.m Önk  bev.'!H53</f>
        <v>25950000</v>
      </c>
      <c r="F23" s="325">
        <f>'3.sz.m Önk  bev.'!I52</f>
        <v>25950000</v>
      </c>
      <c r="G23" s="937">
        <f t="shared" si="1"/>
        <v>1</v>
      </c>
      <c r="H23" s="311" t="s">
        <v>173</v>
      </c>
      <c r="I23" s="325">
        <f>'4.sz.m.ÖNK kiadás'!E20</f>
        <v>7500000</v>
      </c>
      <c r="J23" s="325">
        <f>'4.sz.m.ÖNK kiadás'!F20</f>
        <v>9500000</v>
      </c>
      <c r="K23" s="325">
        <f>'4.sz.m.ÖNK kiadás'!G20</f>
        <v>10136387</v>
      </c>
      <c r="L23" s="325">
        <f>'4.sz.m.ÖNK kiadás'!H20</f>
        <v>10136387</v>
      </c>
      <c r="M23" s="325">
        <f>'4.sz.m.ÖNK kiadás'!I20</f>
        <v>7386387</v>
      </c>
      <c r="N23" s="937">
        <f t="shared" si="2"/>
        <v>0.7287001768973501</v>
      </c>
    </row>
    <row r="24" spans="1:15" ht="13.5" thickBot="1">
      <c r="A24" s="255"/>
      <c r="B24" s="325"/>
      <c r="C24" s="325"/>
      <c r="D24" s="325"/>
      <c r="E24" s="325"/>
      <c r="F24" s="325"/>
      <c r="G24" s="937"/>
      <c r="H24" s="311" t="s">
        <v>180</v>
      </c>
      <c r="I24" s="325"/>
      <c r="J24" s="325"/>
      <c r="K24" s="325"/>
      <c r="L24" s="325"/>
      <c r="M24" s="325"/>
      <c r="N24" s="937"/>
      <c r="O24" s="15"/>
    </row>
    <row r="25" spans="1:14" ht="13.5" hidden="1" thickBot="1">
      <c r="A25" s="264"/>
      <c r="B25" s="326"/>
      <c r="C25" s="326"/>
      <c r="D25" s="326"/>
      <c r="E25" s="326"/>
      <c r="F25" s="326"/>
      <c r="G25" s="938" t="e">
        <f t="shared" si="1"/>
        <v>#DIV/0!</v>
      </c>
      <c r="H25" s="312"/>
      <c r="I25" s="326"/>
      <c r="J25" s="326"/>
      <c r="K25" s="326"/>
      <c r="L25" s="326"/>
      <c r="M25" s="326"/>
      <c r="N25" s="938" t="e">
        <f t="shared" si="2"/>
        <v>#DIV/0!</v>
      </c>
    </row>
    <row r="26" spans="1:14" ht="13.5" thickBot="1">
      <c r="A26" s="265" t="s">
        <v>184</v>
      </c>
      <c r="B26" s="331">
        <f>SUM(B21:B24)</f>
        <v>48488680</v>
      </c>
      <c r="C26" s="331">
        <f>SUM(C21:C24)</f>
        <v>50438680</v>
      </c>
      <c r="D26" s="331">
        <f>SUM(D21:D24)</f>
        <v>50438680</v>
      </c>
      <c r="E26" s="331">
        <f>SUM(E21:E24)</f>
        <v>60956300</v>
      </c>
      <c r="F26" s="331">
        <f>SUM(F21:F24)</f>
        <v>60956300</v>
      </c>
      <c r="G26" s="939">
        <f t="shared" si="1"/>
        <v>1</v>
      </c>
      <c r="H26" s="317" t="s">
        <v>183</v>
      </c>
      <c r="I26" s="336">
        <f>SUM(I21:I25)</f>
        <v>343158795</v>
      </c>
      <c r="J26" s="336">
        <f>SUM(J21:J25)</f>
        <v>397027211</v>
      </c>
      <c r="K26" s="336">
        <f>SUM(K21:K25)</f>
        <v>408984020</v>
      </c>
      <c r="L26" s="336">
        <f>SUM(L21:L25)</f>
        <v>406962374</v>
      </c>
      <c r="M26" s="336">
        <f>SUM(M21:M25)</f>
        <v>319783676</v>
      </c>
      <c r="N26" s="945">
        <f t="shared" si="2"/>
        <v>0.785781920959602</v>
      </c>
    </row>
    <row r="27" spans="1:14" ht="15" customHeight="1">
      <c r="A27" s="259" t="s">
        <v>450</v>
      </c>
      <c r="B27" s="324">
        <f>257870073+39823782</f>
        <v>297693855</v>
      </c>
      <c r="C27" s="324">
        <f>257870073+39823782</f>
        <v>297693855</v>
      </c>
      <c r="D27" s="324">
        <f>257870073+39823782</f>
        <v>297693855</v>
      </c>
      <c r="E27" s="324">
        <f>257870073+39823782</f>
        <v>297693855</v>
      </c>
      <c r="F27" s="324">
        <f>257870073+39823782</f>
        <v>297693855</v>
      </c>
      <c r="G27" s="940">
        <f t="shared" si="1"/>
        <v>1</v>
      </c>
      <c r="H27" s="310" t="s">
        <v>185</v>
      </c>
      <c r="I27" s="324">
        <f>'4.sz.m.ÖNK kiadás'!E33</f>
        <v>3023740</v>
      </c>
      <c r="J27" s="324">
        <f>'4.sz.m.ÖNK kiadás'!F33</f>
        <v>3023740</v>
      </c>
      <c r="K27" s="324">
        <f>'4.sz.m.ÖNK kiadás'!G33</f>
        <v>3023740</v>
      </c>
      <c r="L27" s="324">
        <f>'4.sz.m.ÖNK kiadás'!H33</f>
        <v>3023740</v>
      </c>
      <c r="M27" s="324">
        <f>'4.sz.m.ÖNK kiadás'!I33</f>
        <v>3023740</v>
      </c>
      <c r="N27" s="940">
        <f t="shared" si="2"/>
        <v>1</v>
      </c>
    </row>
    <row r="28" spans="1:14" ht="13.5" thickBot="1">
      <c r="A28" s="260" t="s">
        <v>166</v>
      </c>
      <c r="B28" s="333">
        <f>'3.sz.m Önk  bev.'!E57</f>
        <v>0</v>
      </c>
      <c r="C28" s="333">
        <f>'3.sz.m Önk  bev.'!F57</f>
        <v>0</v>
      </c>
      <c r="D28" s="333">
        <f>'3.sz.m Önk  bev.'!G57</f>
        <v>0</v>
      </c>
      <c r="E28" s="333"/>
      <c r="F28" s="333"/>
      <c r="G28" s="941"/>
      <c r="H28" s="318" t="s">
        <v>455</v>
      </c>
      <c r="I28" s="326"/>
      <c r="J28" s="326"/>
      <c r="K28" s="326"/>
      <c r="L28" s="326"/>
      <c r="M28" s="326"/>
      <c r="N28" s="938"/>
    </row>
    <row r="29" spans="1:15" ht="25.5" customHeight="1" thickBot="1">
      <c r="A29" s="261" t="s">
        <v>187</v>
      </c>
      <c r="B29" s="330">
        <f>SUM(B27:B28)</f>
        <v>297693855</v>
      </c>
      <c r="C29" s="330">
        <f>SUM(C27:C28)</f>
        <v>297693855</v>
      </c>
      <c r="D29" s="330">
        <f>SUM(D27:D28)</f>
        <v>297693855</v>
      </c>
      <c r="E29" s="330">
        <f>SUM(E27:E28)</f>
        <v>297693855</v>
      </c>
      <c r="F29" s="330">
        <f>SUM(F27:F28)</f>
        <v>297693855</v>
      </c>
      <c r="G29" s="942">
        <f t="shared" si="1"/>
        <v>1</v>
      </c>
      <c r="H29" s="317" t="s">
        <v>188</v>
      </c>
      <c r="I29" s="331">
        <f>SUM(I27:I28)</f>
        <v>3023740</v>
      </c>
      <c r="J29" s="331">
        <f>SUM(J27:J28)</f>
        <v>3023740</v>
      </c>
      <c r="K29" s="331">
        <f>SUM(K27:K28)</f>
        <v>3023740</v>
      </c>
      <c r="L29" s="331">
        <f>SUM(L27:L28)</f>
        <v>3023740</v>
      </c>
      <c r="M29" s="331">
        <f>SUM(M27:M28)</f>
        <v>3023740</v>
      </c>
      <c r="N29" s="939">
        <f t="shared" si="2"/>
        <v>1</v>
      </c>
      <c r="O29" s="15"/>
    </row>
    <row r="30" spans="1:15" ht="26.25" customHeight="1" thickBot="1">
      <c r="A30" s="263" t="s">
        <v>189</v>
      </c>
      <c r="B30" s="331">
        <f>B26+B29</f>
        <v>346182535</v>
      </c>
      <c r="C30" s="331">
        <f>C26+C29</f>
        <v>348132535</v>
      </c>
      <c r="D30" s="331">
        <f>D26+D29</f>
        <v>348132535</v>
      </c>
      <c r="E30" s="331">
        <f>E26+E29</f>
        <v>358650155</v>
      </c>
      <c r="F30" s="331">
        <f>F26+F29</f>
        <v>358650155</v>
      </c>
      <c r="G30" s="939">
        <f t="shared" si="1"/>
        <v>1</v>
      </c>
      <c r="H30" s="319" t="s">
        <v>190</v>
      </c>
      <c r="I30" s="331">
        <f>I29+I26</f>
        <v>346182535</v>
      </c>
      <c r="J30" s="331">
        <f>J29+J26</f>
        <v>400050951</v>
      </c>
      <c r="K30" s="331">
        <f>K29+K26</f>
        <v>412007760</v>
      </c>
      <c r="L30" s="331">
        <f>L29+L26</f>
        <v>409986114</v>
      </c>
      <c r="M30" s="331">
        <f>M29+M26</f>
        <v>322807416</v>
      </c>
      <c r="N30" s="939">
        <f t="shared" si="2"/>
        <v>0.7873618275764335</v>
      </c>
      <c r="O30" s="15"/>
    </row>
    <row r="31" spans="1:14" ht="26.25" customHeight="1" hidden="1" thickBot="1">
      <c r="A31" s="263" t="s">
        <v>239</v>
      </c>
      <c r="B31" s="334"/>
      <c r="C31" s="334"/>
      <c r="D31" s="334"/>
      <c r="E31" s="334"/>
      <c r="F31" s="334"/>
      <c r="G31" s="943" t="e">
        <f t="shared" si="1"/>
        <v>#DIV/0!</v>
      </c>
      <c r="H31" s="319" t="s">
        <v>238</v>
      </c>
      <c r="I31" s="331"/>
      <c r="J31" s="331"/>
      <c r="K31" s="331"/>
      <c r="L31" s="331"/>
      <c r="M31" s="331"/>
      <c r="N31" s="939" t="e">
        <f t="shared" si="2"/>
        <v>#DIV/0!</v>
      </c>
    </row>
    <row r="32" spans="1:14" ht="29.25" customHeight="1" thickBot="1">
      <c r="A32" s="266" t="s">
        <v>191</v>
      </c>
      <c r="B32" s="335">
        <f>B19+B30</f>
        <v>1026643581</v>
      </c>
      <c r="C32" s="335">
        <f>C19+C30</f>
        <v>1035072723</v>
      </c>
      <c r="D32" s="335">
        <f>D19+D30</f>
        <v>1039949409</v>
      </c>
      <c r="E32" s="335">
        <f>E19+E30</f>
        <v>1079771791</v>
      </c>
      <c r="F32" s="335">
        <f>F19+F30</f>
        <v>1028122424</v>
      </c>
      <c r="G32" s="944">
        <f t="shared" si="1"/>
        <v>0.9521664045768723</v>
      </c>
      <c r="H32" s="320" t="s">
        <v>192</v>
      </c>
      <c r="I32" s="337">
        <f>I30+I19</f>
        <v>1026643581</v>
      </c>
      <c r="J32" s="337">
        <f>J30+J19</f>
        <v>1035072723</v>
      </c>
      <c r="K32" s="337">
        <f>K30+K19</f>
        <v>1039949409</v>
      </c>
      <c r="L32" s="337">
        <f>L30+L19</f>
        <v>1079771791</v>
      </c>
      <c r="M32" s="337">
        <f>M30+M19</f>
        <v>835925207</v>
      </c>
      <c r="N32" s="946">
        <f t="shared" si="2"/>
        <v>0.7741684066647375</v>
      </c>
    </row>
    <row r="34" spans="2:13" ht="12.75">
      <c r="B34" s="15"/>
      <c r="C34" s="15"/>
      <c r="D34" s="15"/>
      <c r="E34" s="15"/>
      <c r="F34" s="15"/>
      <c r="G34" s="15"/>
      <c r="I34" s="15"/>
      <c r="K34" s="15"/>
      <c r="L34" s="15"/>
      <c r="M34" s="15"/>
    </row>
    <row r="35" spans="2:14" ht="12.75">
      <c r="B35" s="15"/>
      <c r="C35" s="15"/>
      <c r="E35" s="15"/>
      <c r="F35" s="15"/>
      <c r="L35" s="15"/>
      <c r="M35" s="15"/>
      <c r="N35" s="15"/>
    </row>
    <row r="36" spans="3:9" ht="12.75">
      <c r="C36" s="15"/>
      <c r="H36" s="15"/>
      <c r="I36" s="15"/>
    </row>
    <row r="37" ht="12.75">
      <c r="C37" s="15"/>
    </row>
    <row r="38" ht="12.75">
      <c r="C38" s="15"/>
    </row>
  </sheetData>
  <sheetProtection/>
  <mergeCells count="4">
    <mergeCell ref="A2:I2"/>
    <mergeCell ref="A20:I20"/>
    <mergeCell ref="A4:I4"/>
    <mergeCell ref="H1:M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53" r:id="rId1"/>
  <colBreaks count="2" manualBreakCount="2">
    <brk id="12" max="31" man="1"/>
    <brk id="13" max="30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8.421875" style="1010" bestFit="1" customWidth="1"/>
    <col min="2" max="2" width="42.7109375" style="1010" bestFit="1" customWidth="1"/>
    <col min="3" max="3" width="17.421875" style="1010" customWidth="1"/>
    <col min="4" max="4" width="14.28125" style="1010" customWidth="1"/>
    <col min="5" max="5" width="16.8515625" style="1010" customWidth="1"/>
    <col min="6" max="16384" width="9.140625" style="1010" customWidth="1"/>
  </cols>
  <sheetData>
    <row r="1" spans="1:3" ht="12.75" customHeight="1">
      <c r="A1" s="1009"/>
      <c r="B1" s="1643" t="s">
        <v>712</v>
      </c>
      <c r="C1" s="1643"/>
    </row>
    <row r="2" spans="1:3" ht="14.25">
      <c r="A2" s="1011"/>
      <c r="B2" s="1011"/>
      <c r="C2" s="1011"/>
    </row>
    <row r="3" spans="1:3" ht="14.25">
      <c r="A3" s="1644" t="s">
        <v>713</v>
      </c>
      <c r="B3" s="1644"/>
      <c r="C3" s="1644"/>
    </row>
    <row r="4" spans="1:3" ht="13.5" thickBot="1">
      <c r="A4" s="1009"/>
      <c r="B4" s="1009"/>
      <c r="C4" s="1012"/>
    </row>
    <row r="5" spans="1:3" ht="15" thickBot="1">
      <c r="A5" s="1335" t="s">
        <v>6</v>
      </c>
      <c r="B5" s="1336" t="s">
        <v>4</v>
      </c>
      <c r="C5" s="1337" t="s">
        <v>714</v>
      </c>
    </row>
    <row r="6" spans="1:5" ht="25.5">
      <c r="A6" s="1338" t="s">
        <v>27</v>
      </c>
      <c r="B6" s="1339" t="s">
        <v>1465</v>
      </c>
      <c r="C6" s="1340">
        <f>C7+C8+C9+C10</f>
        <v>316150998</v>
      </c>
      <c r="D6" s="1333"/>
      <c r="E6" s="1333"/>
    </row>
    <row r="7" spans="1:5" ht="12.75">
      <c r="A7" s="1341" t="s">
        <v>28</v>
      </c>
      <c r="B7" s="1342" t="s">
        <v>715</v>
      </c>
      <c r="C7" s="1343">
        <f>316150998-1257504</f>
        <v>314893494</v>
      </c>
      <c r="E7" s="1334"/>
    </row>
    <row r="8" spans="1:3" ht="12.75">
      <c r="A8" s="1341" t="s">
        <v>10</v>
      </c>
      <c r="B8" s="1342" t="s">
        <v>716</v>
      </c>
      <c r="C8" s="1344">
        <v>0</v>
      </c>
    </row>
    <row r="9" spans="1:3" ht="12.75">
      <c r="A9" s="1341" t="s">
        <v>11</v>
      </c>
      <c r="B9" s="1342" t="s">
        <v>717</v>
      </c>
      <c r="C9" s="1344">
        <v>0</v>
      </c>
    </row>
    <row r="10" spans="1:3" ht="13.5" thickBot="1">
      <c r="A10" s="1345" t="s">
        <v>12</v>
      </c>
      <c r="B10" s="1342" t="s">
        <v>718</v>
      </c>
      <c r="C10" s="1346">
        <v>1257504</v>
      </c>
    </row>
    <row r="11" spans="1:3" ht="25.5">
      <c r="A11" s="1347" t="s">
        <v>13</v>
      </c>
      <c r="B11" s="1348" t="s">
        <v>1466</v>
      </c>
      <c r="C11" s="1340">
        <f>C12+C13+C14+C15</f>
        <v>192420918</v>
      </c>
    </row>
    <row r="12" spans="1:3" ht="12.75">
      <c r="A12" s="1341" t="s">
        <v>14</v>
      </c>
      <c r="B12" s="1342" t="s">
        <v>715</v>
      </c>
      <c r="C12" s="1343">
        <v>175553183</v>
      </c>
    </row>
    <row r="13" spans="1:3" ht="12.75">
      <c r="A13" s="1349" t="s">
        <v>57</v>
      </c>
      <c r="B13" s="1342" t="s">
        <v>716</v>
      </c>
      <c r="C13" s="1344">
        <v>0</v>
      </c>
    </row>
    <row r="14" spans="1:3" ht="12.75">
      <c r="A14" s="1349" t="s">
        <v>58</v>
      </c>
      <c r="B14" s="1342" t="s">
        <v>717</v>
      </c>
      <c r="C14" s="1344">
        <v>0</v>
      </c>
    </row>
    <row r="15" spans="1:3" ht="13.5" thickBot="1">
      <c r="A15" s="1350" t="s">
        <v>403</v>
      </c>
      <c r="B15" s="1351" t="s">
        <v>718</v>
      </c>
      <c r="C15" s="1346">
        <v>16867735</v>
      </c>
    </row>
  </sheetData>
  <sheetProtection/>
  <mergeCells count="2">
    <mergeCell ref="B1:C1"/>
    <mergeCell ref="A3:C3"/>
  </mergeCells>
  <conditionalFormatting sqref="C11">
    <cfRule type="cellIs" priority="2" dxfId="2" operator="notEqual" stopIfTrue="1">
      <formula>SUM(C12:C15)</formula>
    </cfRule>
  </conditionalFormatting>
  <conditionalFormatting sqref="C6">
    <cfRule type="cellIs" priority="1" dxfId="2" operator="notEqual" stopIfTrue="1">
      <formula>SUM(C7:C10)</formula>
    </cfRule>
  </conditionalFormatting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55.57421875" style="1274" customWidth="1"/>
    <col min="2" max="2" width="27.7109375" style="1274" customWidth="1"/>
    <col min="3" max="3" width="11.140625" style="1275" customWidth="1"/>
    <col min="4" max="4" width="12.28125" style="1275" hidden="1" customWidth="1"/>
    <col min="5" max="5" width="26.8515625" style="1276" customWidth="1"/>
    <col min="6" max="8" width="12.00390625" style="1276" customWidth="1"/>
    <col min="9" max="10" width="12.140625" style="1276" customWidth="1"/>
    <col min="11" max="11" width="11.8515625" style="1276" customWidth="1"/>
    <col min="12" max="12" width="11.00390625" style="1276" customWidth="1"/>
    <col min="13" max="13" width="12.140625" style="1276" customWidth="1"/>
    <col min="14" max="16384" width="9.140625" style="1276" customWidth="1"/>
  </cols>
  <sheetData>
    <row r="1" spans="5:11" ht="12.75">
      <c r="E1" s="1658"/>
      <c r="F1" s="1658"/>
      <c r="G1" s="1658"/>
      <c r="H1" s="1658"/>
      <c r="I1" s="1658"/>
      <c r="J1" s="1658"/>
      <c r="K1" s="1658"/>
    </row>
    <row r="2" spans="2:11" ht="12.75">
      <c r="B2" s="1659" t="s">
        <v>934</v>
      </c>
      <c r="C2" s="1659"/>
      <c r="D2" s="1659"/>
      <c r="E2" s="1659"/>
      <c r="F2" s="1659"/>
      <c r="G2" s="1659"/>
      <c r="H2" s="1659"/>
      <c r="I2" s="1659"/>
      <c r="J2" s="1659"/>
      <c r="K2" s="1659"/>
    </row>
    <row r="3" spans="1:11" ht="26.25" customHeight="1">
      <c r="A3" s="1660" t="s">
        <v>689</v>
      </c>
      <c r="B3" s="1660"/>
      <c r="C3" s="1660"/>
      <c r="D3" s="1660"/>
      <c r="E3" s="1660"/>
      <c r="F3" s="1660"/>
      <c r="G3" s="1660"/>
      <c r="H3" s="1660"/>
      <c r="I3" s="1660"/>
      <c r="J3" s="1660"/>
      <c r="K3" s="1660"/>
    </row>
    <row r="4" spans="1:11" ht="21" customHeight="1">
      <c r="A4" s="1661" t="s">
        <v>519</v>
      </c>
      <c r="B4" s="1661"/>
      <c r="C4" s="1661"/>
      <c r="D4" s="1661"/>
      <c r="E4" s="1661"/>
      <c r="F4" s="1661"/>
      <c r="G4" s="1661"/>
      <c r="H4" s="1661"/>
      <c r="I4" s="1661"/>
      <c r="J4" s="1661"/>
      <c r="K4" s="1661"/>
    </row>
    <row r="5" spans="6:7" ht="32.25" customHeight="1" thickBot="1">
      <c r="F5" s="1277" t="s">
        <v>474</v>
      </c>
      <c r="G5" s="1277"/>
    </row>
    <row r="6" spans="1:11" s="1279" customFormat="1" ht="13.5" thickBot="1">
      <c r="A6" s="1278" t="s">
        <v>4</v>
      </c>
      <c r="B6" s="1662" t="s">
        <v>520</v>
      </c>
      <c r="C6" s="1663"/>
      <c r="D6" s="1663"/>
      <c r="E6" s="1662" t="s">
        <v>521</v>
      </c>
      <c r="F6" s="1663"/>
      <c r="G6" s="1663"/>
      <c r="H6" s="1662"/>
      <c r="I6" s="1663"/>
      <c r="J6" s="1663"/>
      <c r="K6" s="1663"/>
    </row>
    <row r="7" spans="3:11" ht="12.75">
      <c r="C7" s="1275" t="s">
        <v>691</v>
      </c>
      <c r="E7" s="1280"/>
      <c r="F7" s="1281">
        <v>2016</v>
      </c>
      <c r="G7" s="1281">
        <v>2017</v>
      </c>
      <c r="H7" s="1281">
        <v>2018</v>
      </c>
      <c r="I7" s="1281">
        <v>2019</v>
      </c>
      <c r="J7" s="1281">
        <v>2020</v>
      </c>
      <c r="K7" s="1281" t="s">
        <v>1</v>
      </c>
    </row>
    <row r="8" spans="1:11" ht="12.75">
      <c r="A8" s="1282"/>
      <c r="B8" s="1282"/>
      <c r="C8" s="1283"/>
      <c r="D8" s="1284" t="s">
        <v>235</v>
      </c>
      <c r="E8" s="1285"/>
      <c r="F8" s="1283"/>
      <c r="G8" s="1283"/>
      <c r="H8" s="1283"/>
      <c r="I8" s="1283"/>
      <c r="J8" s="1283"/>
      <c r="K8" s="1283"/>
    </row>
    <row r="9" spans="1:11" ht="20.25" customHeight="1">
      <c r="A9" s="1286" t="s">
        <v>556</v>
      </c>
      <c r="B9" s="1287" t="s">
        <v>267</v>
      </c>
      <c r="C9" s="1288">
        <v>76299528</v>
      </c>
      <c r="D9" s="1288">
        <v>17366</v>
      </c>
      <c r="E9" s="1289" t="s">
        <v>522</v>
      </c>
      <c r="F9" s="1288">
        <f>1524000+915594</f>
        <v>2439594</v>
      </c>
      <c r="G9" s="1288">
        <f>-915594+3810000-1524000</f>
        <v>1370406</v>
      </c>
      <c r="H9" s="1288">
        <f>+'20.sz.m.többéves kihatás'!E19</f>
        <v>107189149</v>
      </c>
      <c r="I9" s="1288">
        <f>+'20.sz.m.többéves kihatás'!F19</f>
        <v>22189156</v>
      </c>
      <c r="J9" s="1288"/>
      <c r="K9" s="1288">
        <f>SUM(F9:I9)</f>
        <v>133188305</v>
      </c>
    </row>
    <row r="10" spans="1:11" ht="18" customHeight="1">
      <c r="A10" s="1651" t="s">
        <v>523</v>
      </c>
      <c r="B10" s="1654" t="s">
        <v>530</v>
      </c>
      <c r="C10" s="1290">
        <f>+K11-C9</f>
        <v>56888777</v>
      </c>
      <c r="D10" s="1290"/>
      <c r="E10" s="1291"/>
      <c r="F10" s="1291"/>
      <c r="G10" s="1291"/>
      <c r="H10" s="1291"/>
      <c r="I10" s="1291"/>
      <c r="J10" s="1291"/>
      <c r="K10" s="1291"/>
    </row>
    <row r="11" spans="1:11" ht="18.75" customHeight="1" thickBot="1">
      <c r="A11" s="1653"/>
      <c r="B11" s="1655"/>
      <c r="C11" s="1292">
        <f>C9+C10</f>
        <v>133188305</v>
      </c>
      <c r="D11" s="1292">
        <v>17366</v>
      </c>
      <c r="E11" s="1293" t="s">
        <v>525</v>
      </c>
      <c r="F11" s="1292">
        <f>F9+F10</f>
        <v>2439594</v>
      </c>
      <c r="G11" s="1292">
        <f>G9+G10</f>
        <v>1370406</v>
      </c>
      <c r="H11" s="1292">
        <f>H9+H10</f>
        <v>107189149</v>
      </c>
      <c r="I11" s="1292">
        <f>I9+I10</f>
        <v>22189156</v>
      </c>
      <c r="J11" s="1292"/>
      <c r="K11" s="1292">
        <f>K9+K10</f>
        <v>133188305</v>
      </c>
    </row>
    <row r="12" spans="1:7" ht="12" customHeight="1">
      <c r="A12" s="1294"/>
      <c r="F12" s="1275"/>
      <c r="G12" s="1275"/>
    </row>
    <row r="13" ht="13.5" thickBot="1"/>
    <row r="14" spans="1:13" ht="12.75">
      <c r="A14" s="1295" t="s">
        <v>557</v>
      </c>
      <c r="B14" s="1296" t="s">
        <v>267</v>
      </c>
      <c r="C14" s="1297">
        <v>27810421</v>
      </c>
      <c r="D14" s="1297"/>
      <c r="E14" s="1298" t="s">
        <v>522</v>
      </c>
      <c r="F14" s="1297">
        <v>333724</v>
      </c>
      <c r="G14" s="1297">
        <f>(1619250+23441171+275000)*0.25+1380000-333724-6555131</f>
        <v>825000.25</v>
      </c>
      <c r="H14" s="1297">
        <f>(1619250+23441171+275000)*0.75+270000+135000+690000+6555131</f>
        <v>26651696.75</v>
      </c>
      <c r="I14" s="1297">
        <v>0</v>
      </c>
      <c r="J14" s="1297"/>
      <c r="K14" s="1297">
        <f>SUM(F14:I14)</f>
        <v>27810421</v>
      </c>
      <c r="L14" s="1275"/>
      <c r="M14" s="1275"/>
    </row>
    <row r="15" spans="1:11" ht="12.75">
      <c r="A15" s="1651" t="s">
        <v>526</v>
      </c>
      <c r="B15" s="1654" t="s">
        <v>530</v>
      </c>
      <c r="C15" s="1656"/>
      <c r="D15" s="1656"/>
      <c r="E15" s="1649"/>
      <c r="F15" s="1649"/>
      <c r="G15" s="1649"/>
      <c r="H15" s="1649"/>
      <c r="I15" s="1649"/>
      <c r="J15" s="1331"/>
      <c r="K15" s="1649"/>
    </row>
    <row r="16" spans="1:11" ht="12.75">
      <c r="A16" s="1652"/>
      <c r="B16" s="1655"/>
      <c r="C16" s="1657"/>
      <c r="D16" s="1657"/>
      <c r="E16" s="1650"/>
      <c r="F16" s="1650"/>
      <c r="G16" s="1650"/>
      <c r="H16" s="1650"/>
      <c r="I16" s="1650"/>
      <c r="J16" s="1332"/>
      <c r="K16" s="1650"/>
    </row>
    <row r="17" spans="1:11" ht="13.5" thickBot="1">
      <c r="A17" s="1653"/>
      <c r="B17" s="1299" t="s">
        <v>524</v>
      </c>
      <c r="C17" s="1292">
        <f>+C14+C15</f>
        <v>27810421</v>
      </c>
      <c r="D17" s="1292"/>
      <c r="E17" s="1293" t="s">
        <v>525</v>
      </c>
      <c r="F17" s="1292">
        <f>F14+F16</f>
        <v>333724</v>
      </c>
      <c r="G17" s="1292">
        <f>G14+G16</f>
        <v>825000.25</v>
      </c>
      <c r="H17" s="1292">
        <f>H14+H16</f>
        <v>26651696.75</v>
      </c>
      <c r="I17" s="1292">
        <f>I14+I16</f>
        <v>0</v>
      </c>
      <c r="J17" s="1292"/>
      <c r="K17" s="1292">
        <f>K14+K16</f>
        <v>27810421</v>
      </c>
    </row>
    <row r="18" spans="1:7" ht="12.75">
      <c r="A18" s="1294"/>
      <c r="B18" s="1300"/>
      <c r="F18" s="1275"/>
      <c r="G18" s="1275"/>
    </row>
    <row r="19" ht="13.5" thickBot="1"/>
    <row r="20" spans="1:13" ht="12.75">
      <c r="A20" s="1301" t="s">
        <v>558</v>
      </c>
      <c r="B20" s="1302" t="s">
        <v>527</v>
      </c>
      <c r="C20" s="1303">
        <f>57551464-636387</f>
        <v>56915077</v>
      </c>
      <c r="D20" s="1303"/>
      <c r="E20" s="1304" t="s">
        <v>522</v>
      </c>
      <c r="F20" s="1297">
        <v>0</v>
      </c>
      <c r="G20" s="1297">
        <f>1270000*0.25+2751885*0.8-982308</f>
        <v>1536700</v>
      </c>
      <c r="H20" s="1297">
        <f>+'20.sz.m.többéves kihatás'!E15</f>
        <v>67394668</v>
      </c>
      <c r="I20" s="1297">
        <f>+'20.sz.m.többéves kihatás'!F15</f>
        <v>9563541</v>
      </c>
      <c r="J20" s="1297"/>
      <c r="K20" s="1297">
        <f>SUM(F20:I20)</f>
        <v>78494909</v>
      </c>
      <c r="L20" s="1275"/>
      <c r="M20" s="1275"/>
    </row>
    <row r="21" spans="1:11" ht="12.75">
      <c r="A21" s="1651" t="s">
        <v>528</v>
      </c>
      <c r="B21" s="1305"/>
      <c r="C21" s="1306"/>
      <c r="D21" s="1306"/>
      <c r="E21" s="1307"/>
      <c r="F21" s="1649"/>
      <c r="G21" s="1649"/>
      <c r="H21" s="1649"/>
      <c r="I21" s="1649"/>
      <c r="J21" s="1331"/>
      <c r="K21" s="1649"/>
    </row>
    <row r="22" spans="1:11" ht="12.75">
      <c r="A22" s="1652"/>
      <c r="B22" s="1654" t="s">
        <v>530</v>
      </c>
      <c r="C22" s="1290">
        <f>+K23-C20</f>
        <v>21579832</v>
      </c>
      <c r="D22" s="1290"/>
      <c r="E22" s="1291"/>
      <c r="F22" s="1650"/>
      <c r="G22" s="1650"/>
      <c r="H22" s="1650"/>
      <c r="I22" s="1650"/>
      <c r="J22" s="1332"/>
      <c r="K22" s="1650"/>
    </row>
    <row r="23" spans="1:11" ht="13.5" thickBot="1">
      <c r="A23" s="1653"/>
      <c r="B23" s="1655"/>
      <c r="C23" s="1292">
        <f>C21+C22+C20</f>
        <v>78494909</v>
      </c>
      <c r="D23" s="1292"/>
      <c r="E23" s="1293" t="s">
        <v>525</v>
      </c>
      <c r="F23" s="1292">
        <f>F20+F22</f>
        <v>0</v>
      </c>
      <c r="G23" s="1292">
        <f>G20+G22</f>
        <v>1536700</v>
      </c>
      <c r="H23" s="1292">
        <f>H20+H22</f>
        <v>67394668</v>
      </c>
      <c r="I23" s="1292"/>
      <c r="J23" s="1292"/>
      <c r="K23" s="1292">
        <f>K20+K22</f>
        <v>78494909</v>
      </c>
    </row>
    <row r="24" ht="13.5" thickBot="1"/>
    <row r="25" spans="1:13" ht="12.75">
      <c r="A25" s="1295" t="s">
        <v>553</v>
      </c>
      <c r="B25" s="1296" t="s">
        <v>267</v>
      </c>
      <c r="C25" s="1297">
        <v>6983061</v>
      </c>
      <c r="D25" s="1297"/>
      <c r="E25" s="1298" t="s">
        <v>522</v>
      </c>
      <c r="F25" s="1297"/>
      <c r="G25" s="1297">
        <f>3139061+770000+840000+150000-1039595</f>
        <v>3859466</v>
      </c>
      <c r="H25" s="1297">
        <f>C25-G25</f>
        <v>3123595</v>
      </c>
      <c r="I25" s="1297">
        <v>0</v>
      </c>
      <c r="J25" s="1297"/>
      <c r="K25" s="1297">
        <f>SUM(F25:I25)</f>
        <v>6983061</v>
      </c>
      <c r="M25" s="1275"/>
    </row>
    <row r="26" spans="1:11" ht="12.75">
      <c r="A26" s="1651" t="s">
        <v>529</v>
      </c>
      <c r="B26" s="1654" t="s">
        <v>530</v>
      </c>
      <c r="C26" s="1656"/>
      <c r="D26" s="1308"/>
      <c r="E26" s="1649"/>
      <c r="F26" s="1649"/>
      <c r="G26" s="1649"/>
      <c r="H26" s="1649"/>
      <c r="I26" s="1649"/>
      <c r="J26" s="1331"/>
      <c r="K26" s="1649"/>
    </row>
    <row r="27" spans="1:11" ht="12.75">
      <c r="A27" s="1652"/>
      <c r="B27" s="1655"/>
      <c r="C27" s="1657"/>
      <c r="D27" s="1309"/>
      <c r="E27" s="1650"/>
      <c r="F27" s="1650"/>
      <c r="G27" s="1650"/>
      <c r="H27" s="1650"/>
      <c r="I27" s="1650"/>
      <c r="J27" s="1332"/>
      <c r="K27" s="1650"/>
    </row>
    <row r="28" spans="1:11" ht="13.5" thickBot="1">
      <c r="A28" s="1653"/>
      <c r="B28" s="1299" t="s">
        <v>524</v>
      </c>
      <c r="C28" s="1292">
        <f>C25+C27</f>
        <v>6983061</v>
      </c>
      <c r="D28" s="1292"/>
      <c r="E28" s="1293" t="s">
        <v>525</v>
      </c>
      <c r="F28" s="1292">
        <f>F25+F27</f>
        <v>0</v>
      </c>
      <c r="G28" s="1292">
        <f>G25+G27</f>
        <v>3859466</v>
      </c>
      <c r="H28" s="1292">
        <f>H25+H27</f>
        <v>3123595</v>
      </c>
      <c r="I28" s="1292">
        <f>I25+I27</f>
        <v>0</v>
      </c>
      <c r="J28" s="1292"/>
      <c r="K28" s="1292">
        <f>K25+K27</f>
        <v>6983061</v>
      </c>
    </row>
    <row r="29" ht="13.5" thickBot="1"/>
    <row r="30" spans="1:11" ht="12.75">
      <c r="A30" s="1295" t="s">
        <v>690</v>
      </c>
      <c r="B30" s="1296" t="s">
        <v>267</v>
      </c>
      <c r="C30" s="1297">
        <v>19340856</v>
      </c>
      <c r="D30" s="1297"/>
      <c r="E30" s="1298" t="s">
        <v>522</v>
      </c>
      <c r="F30" s="1297"/>
      <c r="G30" s="1297"/>
      <c r="H30" s="1297"/>
      <c r="I30" s="1297">
        <f>+'20.sz.m.többéves kihatás'!F13</f>
        <v>24439880</v>
      </c>
      <c r="J30" s="1297"/>
      <c r="K30" s="1297">
        <f>SUM(F30:I30)</f>
        <v>24439880</v>
      </c>
    </row>
    <row r="31" spans="1:11" ht="12.75">
      <c r="A31" s="1651" t="s">
        <v>692</v>
      </c>
      <c r="B31" s="1654" t="s">
        <v>530</v>
      </c>
      <c r="C31" s="1656">
        <f>+K30-C30</f>
        <v>5099024</v>
      </c>
      <c r="D31" s="1308"/>
      <c r="E31" s="1649"/>
      <c r="F31" s="1649"/>
      <c r="G31" s="1649"/>
      <c r="H31" s="1649"/>
      <c r="I31" s="1649"/>
      <c r="J31" s="1331"/>
      <c r="K31" s="1649"/>
    </row>
    <row r="32" spans="1:11" ht="12.75">
      <c r="A32" s="1652"/>
      <c r="B32" s="1655"/>
      <c r="C32" s="1657"/>
      <c r="D32" s="1309"/>
      <c r="E32" s="1650"/>
      <c r="F32" s="1650"/>
      <c r="G32" s="1650"/>
      <c r="H32" s="1650"/>
      <c r="I32" s="1650"/>
      <c r="J32" s="1332"/>
      <c r="K32" s="1650"/>
    </row>
    <row r="33" spans="1:11" ht="41.25" customHeight="1" thickBot="1">
      <c r="A33" s="1653"/>
      <c r="B33" s="1299" t="s">
        <v>524</v>
      </c>
      <c r="C33" s="1292">
        <f>C30+C32</f>
        <v>19340856</v>
      </c>
      <c r="D33" s="1292"/>
      <c r="E33" s="1293" t="s">
        <v>525</v>
      </c>
      <c r="F33" s="1292">
        <f>F30+F32</f>
        <v>0</v>
      </c>
      <c r="G33" s="1292">
        <f>G30+G32</f>
        <v>0</v>
      </c>
      <c r="H33" s="1292">
        <f>H30+H32</f>
        <v>0</v>
      </c>
      <c r="I33" s="1292">
        <f>I30+I32</f>
        <v>24439880</v>
      </c>
      <c r="J33" s="1292"/>
      <c r="K33" s="1292">
        <f>K30+K32</f>
        <v>24439880</v>
      </c>
    </row>
    <row r="36" spans="1:13" ht="12.75">
      <c r="A36" s="1352" t="s">
        <v>1460</v>
      </c>
      <c r="B36" s="1353" t="s">
        <v>267</v>
      </c>
      <c r="C36" s="1354">
        <v>94948001</v>
      </c>
      <c r="D36" s="1354">
        <v>17366</v>
      </c>
      <c r="E36" s="1355" t="s">
        <v>522</v>
      </c>
      <c r="F36" s="1354"/>
      <c r="G36" s="1354"/>
      <c r="H36" s="1354">
        <v>17893857</v>
      </c>
      <c r="I36" s="1354">
        <v>72302967</v>
      </c>
      <c r="J36" s="1354">
        <v>4751177</v>
      </c>
      <c r="K36" s="1354">
        <f>SUM(F36:J36)</f>
        <v>94948001</v>
      </c>
      <c r="M36" s="1275"/>
    </row>
    <row r="37" spans="1:11" ht="12.75">
      <c r="A37" s="1645" t="s">
        <v>1461</v>
      </c>
      <c r="B37" s="1647" t="s">
        <v>530</v>
      </c>
      <c r="C37" s="1356"/>
      <c r="D37" s="1356"/>
      <c r="E37" s="1357"/>
      <c r="F37" s="1357"/>
      <c r="G37" s="1357"/>
      <c r="H37" s="1357"/>
      <c r="I37" s="1357"/>
      <c r="J37" s="1357"/>
      <c r="K37" s="1357"/>
    </row>
    <row r="38" spans="1:11" ht="13.5" thickBot="1">
      <c r="A38" s="1646"/>
      <c r="B38" s="1648"/>
      <c r="C38" s="1358">
        <f>C36+C37</f>
        <v>94948001</v>
      </c>
      <c r="D38" s="1358">
        <v>17366</v>
      </c>
      <c r="E38" s="1359" t="s">
        <v>525</v>
      </c>
      <c r="F38" s="1358">
        <f aca="true" t="shared" si="0" ref="F38:K38">F36+F37</f>
        <v>0</v>
      </c>
      <c r="G38" s="1358">
        <f t="shared" si="0"/>
        <v>0</v>
      </c>
      <c r="H38" s="1358">
        <f t="shared" si="0"/>
        <v>17893857</v>
      </c>
      <c r="I38" s="1358">
        <f t="shared" si="0"/>
        <v>72302967</v>
      </c>
      <c r="J38" s="1358">
        <f t="shared" si="0"/>
        <v>4751177</v>
      </c>
      <c r="K38" s="1358">
        <f t="shared" si="0"/>
        <v>94948001</v>
      </c>
    </row>
  </sheetData>
  <sheetProtection/>
  <mergeCells count="46">
    <mergeCell ref="B22:B23"/>
    <mergeCell ref="B10:B11"/>
    <mergeCell ref="E1:K1"/>
    <mergeCell ref="B2:K2"/>
    <mergeCell ref="A3:K3"/>
    <mergeCell ref="A4:K4"/>
    <mergeCell ref="B6:D6"/>
    <mergeCell ref="E6:G6"/>
    <mergeCell ref="H6:K6"/>
    <mergeCell ref="A10:A11"/>
    <mergeCell ref="A15:A17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A21:A23"/>
    <mergeCell ref="F21:F22"/>
    <mergeCell ref="G21:G22"/>
    <mergeCell ref="H21:H22"/>
    <mergeCell ref="I21:I22"/>
    <mergeCell ref="K21:K22"/>
    <mergeCell ref="G31:G32"/>
    <mergeCell ref="H26:H27"/>
    <mergeCell ref="I26:I27"/>
    <mergeCell ref="K26:K27"/>
    <mergeCell ref="A26:A28"/>
    <mergeCell ref="B26:B27"/>
    <mergeCell ref="C26:C27"/>
    <mergeCell ref="E26:E27"/>
    <mergeCell ref="F26:F27"/>
    <mergeCell ref="G26:G27"/>
    <mergeCell ref="A37:A38"/>
    <mergeCell ref="B37:B38"/>
    <mergeCell ref="H31:H32"/>
    <mergeCell ref="I31:I32"/>
    <mergeCell ref="K31:K32"/>
    <mergeCell ref="A31:A33"/>
    <mergeCell ref="B31:B32"/>
    <mergeCell ref="C31:C32"/>
    <mergeCell ref="E31:E32"/>
    <mergeCell ref="F31:F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246" customWidth="1"/>
    <col min="2" max="2" width="8.28125" style="243" customWidth="1"/>
    <col min="3" max="3" width="52.00390625" style="243" customWidth="1"/>
    <col min="4" max="6" width="8.28125" style="243" bestFit="1" customWidth="1"/>
    <col min="7" max="7" width="7.421875" style="243" bestFit="1" customWidth="1"/>
    <col min="8" max="8" width="8.421875" style="243" bestFit="1" customWidth="1"/>
    <col min="9" max="9" width="8.8515625" style="243" hidden="1" customWidth="1"/>
    <col min="10" max="12" width="8.28125" style="243" bestFit="1" customWidth="1"/>
    <col min="13" max="13" width="7.421875" style="243" bestFit="1" customWidth="1"/>
    <col min="14" max="14" width="8.421875" style="243" bestFit="1" customWidth="1"/>
    <col min="15" max="15" width="8.8515625" style="243" hidden="1" customWidth="1"/>
    <col min="16" max="16" width="12.421875" style="243" bestFit="1" customWidth="1"/>
    <col min="17" max="17" width="4.57421875" style="243" hidden="1" customWidth="1"/>
    <col min="18" max="18" width="0" style="243" hidden="1" customWidth="1"/>
    <col min="19" max="19" width="10.00390625" style="243" hidden="1" customWidth="1"/>
    <col min="20" max="20" width="0" style="243" hidden="1" customWidth="1"/>
    <col min="21" max="16384" width="9.140625" style="243" customWidth="1"/>
  </cols>
  <sheetData>
    <row r="1" spans="1:16" s="84" customFormat="1" ht="21" customHeight="1" hidden="1">
      <c r="A1" s="83"/>
      <c r="C1" s="85"/>
      <c r="D1" s="86"/>
      <c r="E1" s="86"/>
      <c r="F1" s="86"/>
      <c r="G1" s="86"/>
      <c r="H1" s="86"/>
      <c r="I1" s="86"/>
      <c r="J1" s="1664"/>
      <c r="K1" s="1664"/>
      <c r="L1" s="1664"/>
      <c r="M1" s="1664"/>
      <c r="N1" s="1664"/>
      <c r="O1" s="1664"/>
      <c r="P1" s="1664"/>
    </row>
    <row r="2" spans="1:16" s="89" customFormat="1" ht="25.5" customHeight="1" hidden="1" thickBot="1">
      <c r="A2" s="1439"/>
      <c r="B2" s="1439"/>
      <c r="C2" s="1439"/>
      <c r="D2" s="1439"/>
      <c r="E2" s="1439"/>
      <c r="F2" s="1439"/>
      <c r="G2" s="1439"/>
      <c r="H2" s="1439"/>
      <c r="I2" s="1439"/>
      <c r="J2" s="1439"/>
      <c r="K2" s="1439"/>
      <c r="L2" s="1439"/>
      <c r="M2" s="1439"/>
      <c r="N2" s="1439"/>
      <c r="O2" s="1439"/>
      <c r="P2" s="1439"/>
    </row>
    <row r="3" spans="1:20" s="92" customFormat="1" ht="40.5" customHeight="1" hidden="1" thickBot="1">
      <c r="A3" s="90"/>
      <c r="B3" s="90"/>
      <c r="C3" s="90"/>
      <c r="D3" s="1447" t="s">
        <v>5</v>
      </c>
      <c r="E3" s="1448"/>
      <c r="F3" s="1448"/>
      <c r="G3" s="1448"/>
      <c r="H3" s="1448"/>
      <c r="I3" s="1449"/>
      <c r="J3" s="1447" t="s">
        <v>105</v>
      </c>
      <c r="K3" s="1448"/>
      <c r="L3" s="1448"/>
      <c r="M3" s="1448"/>
      <c r="N3" s="1448"/>
      <c r="O3" s="1449"/>
      <c r="P3" s="1665" t="s">
        <v>153</v>
      </c>
      <c r="Q3" s="1666"/>
      <c r="R3" s="1666"/>
      <c r="S3" s="1667"/>
      <c r="T3" s="406"/>
    </row>
    <row r="4" spans="1:19" ht="24.75" hidden="1" thickBot="1">
      <c r="A4" s="1437" t="s">
        <v>107</v>
      </c>
      <c r="B4" s="1438"/>
      <c r="C4" s="388" t="s">
        <v>108</v>
      </c>
      <c r="D4" s="378" t="s">
        <v>65</v>
      </c>
      <c r="E4" s="93" t="s">
        <v>227</v>
      </c>
      <c r="F4" s="93" t="s">
        <v>230</v>
      </c>
      <c r="G4" s="93" t="s">
        <v>232</v>
      </c>
      <c r="H4" s="93" t="s">
        <v>244</v>
      </c>
      <c r="I4" s="349" t="s">
        <v>236</v>
      </c>
      <c r="J4" s="378" t="s">
        <v>65</v>
      </c>
      <c r="K4" s="93" t="s">
        <v>227</v>
      </c>
      <c r="L4" s="93" t="s">
        <v>230</v>
      </c>
      <c r="M4" s="93" t="s">
        <v>232</v>
      </c>
      <c r="N4" s="93" t="s">
        <v>244</v>
      </c>
      <c r="O4" s="349" t="s">
        <v>236</v>
      </c>
      <c r="P4" s="378" t="s">
        <v>245</v>
      </c>
      <c r="Q4" s="93" t="s">
        <v>241</v>
      </c>
      <c r="R4" s="93" t="s">
        <v>230</v>
      </c>
      <c r="S4" s="349" t="s">
        <v>230</v>
      </c>
    </row>
    <row r="5" spans="1:19" s="98" customFormat="1" ht="12.75" customHeight="1" hidden="1" thickBot="1">
      <c r="A5" s="95">
        <v>1</v>
      </c>
      <c r="B5" s="96">
        <v>2</v>
      </c>
      <c r="C5" s="233">
        <v>3</v>
      </c>
      <c r="D5" s="95"/>
      <c r="E5" s="96"/>
      <c r="F5" s="96"/>
      <c r="G5" s="96"/>
      <c r="H5" s="96"/>
      <c r="I5" s="97"/>
      <c r="J5" s="95"/>
      <c r="K5" s="96"/>
      <c r="L5" s="96"/>
      <c r="M5" s="96"/>
      <c r="N5" s="96"/>
      <c r="O5" s="97"/>
      <c r="P5" s="95"/>
      <c r="Q5" s="96"/>
      <c r="R5" s="96"/>
      <c r="S5" s="97"/>
    </row>
    <row r="6" spans="1:19" s="98" customFormat="1" ht="15.75" customHeight="1" hidden="1" thickBot="1">
      <c r="A6" s="99"/>
      <c r="B6" s="100"/>
      <c r="C6" s="100" t="s">
        <v>109</v>
      </c>
      <c r="D6" s="355"/>
      <c r="E6" s="160"/>
      <c r="F6" s="160"/>
      <c r="G6" s="160"/>
      <c r="H6" s="160"/>
      <c r="I6" s="221"/>
      <c r="J6" s="355"/>
      <c r="K6" s="160"/>
      <c r="L6" s="160"/>
      <c r="M6" s="160"/>
      <c r="N6" s="160"/>
      <c r="O6" s="221"/>
      <c r="P6" s="355"/>
      <c r="Q6" s="160"/>
      <c r="R6" s="160"/>
      <c r="S6" s="221"/>
    </row>
    <row r="7" spans="1:19" s="104" customFormat="1" ht="12" customHeight="1" hidden="1" thickBot="1">
      <c r="A7" s="95" t="s">
        <v>27</v>
      </c>
      <c r="B7" s="101"/>
      <c r="C7" s="389" t="s">
        <v>110</v>
      </c>
      <c r="D7" s="356"/>
      <c r="E7" s="161"/>
      <c r="F7" s="161"/>
      <c r="G7" s="161"/>
      <c r="H7" s="415"/>
      <c r="I7" s="296"/>
      <c r="J7" s="356"/>
      <c r="K7" s="161"/>
      <c r="L7" s="161"/>
      <c r="M7" s="161"/>
      <c r="N7" s="415"/>
      <c r="O7" s="296"/>
      <c r="P7" s="356"/>
      <c r="Q7" s="161"/>
      <c r="R7" s="161"/>
      <c r="S7" s="103"/>
    </row>
    <row r="8" spans="1:19" s="104" customFormat="1" ht="12" customHeight="1" hidden="1" thickBot="1">
      <c r="A8" s="95" t="s">
        <v>10</v>
      </c>
      <c r="B8" s="101"/>
      <c r="C8" s="389" t="s">
        <v>116</v>
      </c>
      <c r="D8" s="356">
        <f aca="true" t="shared" si="0" ref="D8:M8">SUM(D9:D12)</f>
        <v>0</v>
      </c>
      <c r="E8" s="161">
        <f t="shared" si="0"/>
        <v>0</v>
      </c>
      <c r="F8" s="161">
        <f t="shared" si="0"/>
        <v>0</v>
      </c>
      <c r="G8" s="161">
        <f>SUM(G9:G12)</f>
        <v>0</v>
      </c>
      <c r="H8" s="415">
        <f>SUM(H9:H12)</f>
        <v>0</v>
      </c>
      <c r="I8" s="296"/>
      <c r="J8" s="356">
        <f t="shared" si="0"/>
        <v>0</v>
      </c>
      <c r="K8" s="161">
        <f t="shared" si="0"/>
        <v>0</v>
      </c>
      <c r="L8" s="161">
        <f t="shared" si="0"/>
        <v>0</v>
      </c>
      <c r="M8" s="161">
        <f t="shared" si="0"/>
        <v>0</v>
      </c>
      <c r="N8" s="415" t="s">
        <v>246</v>
      </c>
      <c r="O8" s="296"/>
      <c r="P8" s="356"/>
      <c r="Q8" s="161"/>
      <c r="R8" s="161"/>
      <c r="S8" s="103"/>
    </row>
    <row r="9" spans="1:19" s="110" customFormat="1" ht="12" customHeight="1" hidden="1">
      <c r="A9" s="107"/>
      <c r="B9" s="106" t="s">
        <v>117</v>
      </c>
      <c r="C9" s="368" t="s">
        <v>72</v>
      </c>
      <c r="D9" s="358"/>
      <c r="E9" s="162"/>
      <c r="F9" s="162"/>
      <c r="G9" s="162"/>
      <c r="H9" s="416"/>
      <c r="I9" s="377"/>
      <c r="J9" s="358"/>
      <c r="K9" s="162"/>
      <c r="L9" s="162"/>
      <c r="M9" s="162"/>
      <c r="N9" s="416"/>
      <c r="O9" s="377"/>
      <c r="P9" s="358"/>
      <c r="Q9" s="162"/>
      <c r="R9" s="162"/>
      <c r="S9" s="109"/>
    </row>
    <row r="10" spans="1:19" s="110" customFormat="1" ht="12" customHeight="1" hidden="1">
      <c r="A10" s="107"/>
      <c r="B10" s="106" t="s">
        <v>118</v>
      </c>
      <c r="C10" s="369" t="s">
        <v>119</v>
      </c>
      <c r="D10" s="358"/>
      <c r="E10" s="162"/>
      <c r="F10" s="162"/>
      <c r="G10" s="162"/>
      <c r="H10" s="416"/>
      <c r="I10" s="401"/>
      <c r="J10" s="358"/>
      <c r="K10" s="162"/>
      <c r="L10" s="162"/>
      <c r="M10" s="162"/>
      <c r="N10" s="416"/>
      <c r="O10" s="401"/>
      <c r="P10" s="358"/>
      <c r="Q10" s="162"/>
      <c r="R10" s="162"/>
      <c r="S10" s="109"/>
    </row>
    <row r="11" spans="1:19" s="110" customFormat="1" ht="12" customHeight="1" hidden="1">
      <c r="A11" s="107"/>
      <c r="B11" s="106" t="s">
        <v>120</v>
      </c>
      <c r="C11" s="369" t="s">
        <v>73</v>
      </c>
      <c r="D11" s="358"/>
      <c r="E11" s="162"/>
      <c r="F11" s="162"/>
      <c r="G11" s="162"/>
      <c r="H11" s="416"/>
      <c r="I11" s="401"/>
      <c r="J11" s="358"/>
      <c r="K11" s="162"/>
      <c r="L11" s="162"/>
      <c r="M11" s="162"/>
      <c r="N11" s="416"/>
      <c r="O11" s="401"/>
      <c r="P11" s="358"/>
      <c r="Q11" s="162"/>
      <c r="R11" s="162"/>
      <c r="S11" s="109"/>
    </row>
    <row r="12" spans="1:19" s="110" customFormat="1" ht="12" customHeight="1" hidden="1" thickBot="1">
      <c r="A12" s="107"/>
      <c r="B12" s="106" t="s">
        <v>121</v>
      </c>
      <c r="C12" s="369" t="s">
        <v>119</v>
      </c>
      <c r="D12" s="358"/>
      <c r="E12" s="162"/>
      <c r="F12" s="162"/>
      <c r="G12" s="162"/>
      <c r="H12" s="416"/>
      <c r="I12" s="407"/>
      <c r="J12" s="358"/>
      <c r="K12" s="162"/>
      <c r="L12" s="162"/>
      <c r="M12" s="162"/>
      <c r="N12" s="416"/>
      <c r="O12" s="407"/>
      <c r="P12" s="358"/>
      <c r="Q12" s="162"/>
      <c r="R12" s="162"/>
      <c r="S12" s="109"/>
    </row>
    <row r="13" spans="1:19" s="110" customFormat="1" ht="12" customHeight="1" hidden="1" thickBot="1">
      <c r="A13" s="113" t="s">
        <v>11</v>
      </c>
      <c r="B13" s="114"/>
      <c r="C13" s="367" t="s">
        <v>122</v>
      </c>
      <c r="D13" s="356">
        <f aca="true" t="shared" si="1" ref="D13:M13">SUM(D14:D15)</f>
        <v>0</v>
      </c>
      <c r="E13" s="161">
        <f t="shared" si="1"/>
        <v>0</v>
      </c>
      <c r="F13" s="161">
        <f t="shared" si="1"/>
        <v>0</v>
      </c>
      <c r="G13" s="161">
        <f>SUM(G14:G15)</f>
        <v>0</v>
      </c>
      <c r="H13" s="415"/>
      <c r="I13" s="296"/>
      <c r="J13" s="356">
        <f t="shared" si="1"/>
        <v>0</v>
      </c>
      <c r="K13" s="161">
        <f t="shared" si="1"/>
        <v>0</v>
      </c>
      <c r="L13" s="161">
        <f t="shared" si="1"/>
        <v>0</v>
      </c>
      <c r="M13" s="161">
        <f t="shared" si="1"/>
        <v>0</v>
      </c>
      <c r="N13" s="415"/>
      <c r="O13" s="296"/>
      <c r="P13" s="356"/>
      <c r="Q13" s="161"/>
      <c r="R13" s="161"/>
      <c r="S13" s="103"/>
    </row>
    <row r="14" spans="1:19" s="104" customFormat="1" ht="12" customHeight="1" hidden="1">
      <c r="A14" s="115"/>
      <c r="B14" s="116" t="s">
        <v>123</v>
      </c>
      <c r="C14" s="390" t="s">
        <v>124</v>
      </c>
      <c r="D14" s="359"/>
      <c r="E14" s="163"/>
      <c r="F14" s="163"/>
      <c r="G14" s="163"/>
      <c r="H14" s="417"/>
      <c r="I14" s="377"/>
      <c r="J14" s="359"/>
      <c r="K14" s="163"/>
      <c r="L14" s="163"/>
      <c r="M14" s="163"/>
      <c r="N14" s="417"/>
      <c r="O14" s="377"/>
      <c r="P14" s="359"/>
      <c r="Q14" s="163"/>
      <c r="R14" s="163"/>
      <c r="S14" s="118"/>
    </row>
    <row r="15" spans="1:19" s="104" customFormat="1" ht="12" customHeight="1" hidden="1" thickBot="1">
      <c r="A15" s="119"/>
      <c r="B15" s="120" t="s">
        <v>125</v>
      </c>
      <c r="C15" s="391" t="s">
        <v>126</v>
      </c>
      <c r="D15" s="360"/>
      <c r="E15" s="164"/>
      <c r="F15" s="164"/>
      <c r="G15" s="164"/>
      <c r="H15" s="418"/>
      <c r="I15" s="407"/>
      <c r="J15" s="360"/>
      <c r="K15" s="164"/>
      <c r="L15" s="164"/>
      <c r="M15" s="164"/>
      <c r="N15" s="418"/>
      <c r="O15" s="407"/>
      <c r="P15" s="360"/>
      <c r="Q15" s="164"/>
      <c r="R15" s="164"/>
      <c r="S15" s="122"/>
    </row>
    <row r="16" spans="1:19" s="104" customFormat="1" ht="12" customHeight="1" hidden="1" thickBot="1">
      <c r="A16" s="113" t="s">
        <v>12</v>
      </c>
      <c r="B16" s="101"/>
      <c r="C16" s="367" t="s">
        <v>127</v>
      </c>
      <c r="D16" s="361"/>
      <c r="E16" s="165"/>
      <c r="F16" s="165"/>
      <c r="G16" s="165"/>
      <c r="H16" s="419"/>
      <c r="I16" s="296"/>
      <c r="J16" s="361"/>
      <c r="K16" s="165"/>
      <c r="L16" s="165"/>
      <c r="M16" s="165"/>
      <c r="N16" s="419" t="s">
        <v>246</v>
      </c>
      <c r="O16" s="296"/>
      <c r="P16" s="361"/>
      <c r="Q16" s="165"/>
      <c r="R16" s="165"/>
      <c r="S16" s="123"/>
    </row>
    <row r="17" spans="1:19" s="104" customFormat="1" ht="12" customHeight="1" hidden="1" thickBot="1">
      <c r="A17" s="95" t="s">
        <v>13</v>
      </c>
      <c r="B17" s="124"/>
      <c r="C17" s="367" t="s">
        <v>128</v>
      </c>
      <c r="D17" s="356">
        <f aca="true" t="shared" si="2" ref="D17:M17">D7+D8+D13+D16</f>
        <v>0</v>
      </c>
      <c r="E17" s="161">
        <f t="shared" si="2"/>
        <v>0</v>
      </c>
      <c r="F17" s="161">
        <f t="shared" si="2"/>
        <v>0</v>
      </c>
      <c r="G17" s="161">
        <f t="shared" si="2"/>
        <v>0</v>
      </c>
      <c r="H17" s="415" t="s">
        <v>246</v>
      </c>
      <c r="I17" s="296"/>
      <c r="J17" s="356">
        <f t="shared" si="2"/>
        <v>0</v>
      </c>
      <c r="K17" s="161">
        <f t="shared" si="2"/>
        <v>0</v>
      </c>
      <c r="L17" s="161">
        <f t="shared" si="2"/>
        <v>0</v>
      </c>
      <c r="M17" s="161">
        <f t="shared" si="2"/>
        <v>0</v>
      </c>
      <c r="N17" s="415" t="s">
        <v>246</v>
      </c>
      <c r="O17" s="296"/>
      <c r="P17" s="356"/>
      <c r="Q17" s="161"/>
      <c r="R17" s="161"/>
      <c r="S17" s="103"/>
    </row>
    <row r="18" spans="1:19" s="110" customFormat="1" ht="12" customHeight="1" hidden="1" thickBot="1">
      <c r="A18" s="125" t="s">
        <v>14</v>
      </c>
      <c r="B18" s="104"/>
      <c r="C18" s="392" t="s">
        <v>129</v>
      </c>
      <c r="D18" s="362">
        <f aca="true" t="shared" si="3" ref="D18:M18">SUM(D19:D20)</f>
        <v>0</v>
      </c>
      <c r="E18" s="166">
        <f t="shared" si="3"/>
        <v>0</v>
      </c>
      <c r="F18" s="166">
        <f t="shared" si="3"/>
        <v>0</v>
      </c>
      <c r="G18" s="166">
        <f>SUM(G19:G20)</f>
        <v>0</v>
      </c>
      <c r="H18" s="420" t="s">
        <v>246</v>
      </c>
      <c r="I18" s="296"/>
      <c r="J18" s="362">
        <f t="shared" si="3"/>
        <v>0</v>
      </c>
      <c r="K18" s="166">
        <f t="shared" si="3"/>
        <v>0</v>
      </c>
      <c r="L18" s="166">
        <f t="shared" si="3"/>
        <v>0</v>
      </c>
      <c r="M18" s="166">
        <f t="shared" si="3"/>
        <v>0</v>
      </c>
      <c r="N18" s="420" t="s">
        <v>246</v>
      </c>
      <c r="O18" s="296"/>
      <c r="P18" s="356"/>
      <c r="Q18" s="161"/>
      <c r="R18" s="161"/>
      <c r="S18" s="103"/>
    </row>
    <row r="19" spans="1:19" s="110" customFormat="1" ht="15" customHeight="1" hidden="1">
      <c r="A19" s="105"/>
      <c r="B19" s="127" t="s">
        <v>130</v>
      </c>
      <c r="C19" s="390" t="s">
        <v>131</v>
      </c>
      <c r="D19" s="359"/>
      <c r="E19" s="163"/>
      <c r="F19" s="163"/>
      <c r="G19" s="163"/>
      <c r="H19" s="417"/>
      <c r="I19" s="377"/>
      <c r="J19" s="359"/>
      <c r="K19" s="163"/>
      <c r="L19" s="163"/>
      <c r="M19" s="163"/>
      <c r="N19" s="417" t="s">
        <v>246</v>
      </c>
      <c r="O19" s="377"/>
      <c r="P19" s="365"/>
      <c r="Q19" s="366"/>
      <c r="R19" s="366"/>
      <c r="S19" s="218"/>
    </row>
    <row r="20" spans="1:19" s="110" customFormat="1" ht="15" customHeight="1" hidden="1" thickBot="1">
      <c r="A20" s="128"/>
      <c r="B20" s="129" t="s">
        <v>132</v>
      </c>
      <c r="C20" s="393" t="s">
        <v>133</v>
      </c>
      <c r="D20" s="363"/>
      <c r="E20" s="167"/>
      <c r="F20" s="167"/>
      <c r="G20" s="167"/>
      <c r="H20" s="421"/>
      <c r="I20" s="407"/>
      <c r="J20" s="363"/>
      <c r="K20" s="167"/>
      <c r="L20" s="167"/>
      <c r="M20" s="167"/>
      <c r="N20" s="421"/>
      <c r="O20" s="407"/>
      <c r="P20" s="363"/>
      <c r="Q20" s="167"/>
      <c r="R20" s="167"/>
      <c r="S20" s="131"/>
    </row>
    <row r="21" spans="1:19" ht="13.5" hidden="1" thickBot="1">
      <c r="A21" s="132" t="s">
        <v>57</v>
      </c>
      <c r="B21" s="244"/>
      <c r="C21" s="371" t="s">
        <v>134</v>
      </c>
      <c r="D21" s="361"/>
      <c r="E21" s="165"/>
      <c r="F21" s="165"/>
      <c r="G21" s="165"/>
      <c r="H21" s="419"/>
      <c r="I21" s="296"/>
      <c r="J21" s="361"/>
      <c r="K21" s="165"/>
      <c r="L21" s="165"/>
      <c r="M21" s="165"/>
      <c r="N21" s="419"/>
      <c r="O21" s="296"/>
      <c r="P21" s="361"/>
      <c r="Q21" s="165"/>
      <c r="R21" s="165"/>
      <c r="S21" s="123"/>
    </row>
    <row r="22" spans="1:19" s="98" customFormat="1" ht="16.5" customHeight="1" hidden="1" thickBot="1">
      <c r="A22" s="132" t="s">
        <v>58</v>
      </c>
      <c r="B22" s="245"/>
      <c r="C22" s="394" t="s">
        <v>135</v>
      </c>
      <c r="D22" s="364">
        <f aca="true" t="shared" si="4" ref="D22:M22">D17+D21+D18</f>
        <v>0</v>
      </c>
      <c r="E22" s="168">
        <f t="shared" si="4"/>
        <v>0</v>
      </c>
      <c r="F22" s="168">
        <f t="shared" si="4"/>
        <v>0</v>
      </c>
      <c r="G22" s="168">
        <f t="shared" si="4"/>
        <v>0</v>
      </c>
      <c r="H22" s="422" t="s">
        <v>246</v>
      </c>
      <c r="I22" s="296"/>
      <c r="J22" s="364">
        <f t="shared" si="4"/>
        <v>0</v>
      </c>
      <c r="K22" s="168">
        <f t="shared" si="4"/>
        <v>0</v>
      </c>
      <c r="L22" s="168">
        <f t="shared" si="4"/>
        <v>0</v>
      </c>
      <c r="M22" s="168">
        <f t="shared" si="4"/>
        <v>0</v>
      </c>
      <c r="N22" s="422" t="s">
        <v>246</v>
      </c>
      <c r="O22" s="296"/>
      <c r="P22" s="364"/>
      <c r="Q22" s="168"/>
      <c r="R22" s="168"/>
      <c r="S22" s="155"/>
    </row>
    <row r="23" spans="1:19" s="141" customFormat="1" ht="12" customHeight="1" hidden="1">
      <c r="A23" s="138"/>
      <c r="B23" s="138"/>
      <c r="C23" s="139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</row>
    <row r="24" spans="1:18" ht="12" customHeight="1" hidden="1" thickBot="1">
      <c r="A24" s="142"/>
      <c r="B24" s="143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1:19" ht="12" customHeight="1" hidden="1" thickBot="1">
      <c r="A25" s="145"/>
      <c r="B25" s="146"/>
      <c r="C25" s="147" t="s">
        <v>136</v>
      </c>
      <c r="D25" s="159"/>
      <c r="E25" s="159"/>
      <c r="F25" s="159"/>
      <c r="G25" s="159"/>
      <c r="H25" s="159"/>
      <c r="I25" s="159"/>
      <c r="J25" s="168"/>
      <c r="K25" s="168"/>
      <c r="L25" s="159"/>
      <c r="M25" s="159"/>
      <c r="N25" s="159"/>
      <c r="O25" s="159"/>
      <c r="P25" s="137"/>
      <c r="Q25" s="137"/>
      <c r="R25" s="137"/>
      <c r="S25" s="137"/>
    </row>
    <row r="26" spans="1:19" ht="12" customHeight="1" hidden="1" thickBot="1">
      <c r="A26" s="113" t="s">
        <v>27</v>
      </c>
      <c r="B26" s="148"/>
      <c r="C26" s="367" t="s">
        <v>137</v>
      </c>
      <c r="D26" s="356">
        <f aca="true" t="shared" si="5" ref="D26:M26">SUM(D27:D31)</f>
        <v>0</v>
      </c>
      <c r="E26" s="161">
        <f t="shared" si="5"/>
        <v>0</v>
      </c>
      <c r="F26" s="161">
        <f t="shared" si="5"/>
        <v>0</v>
      </c>
      <c r="G26" s="161">
        <f>SUM(G27:G31)</f>
        <v>0</v>
      </c>
      <c r="H26" s="423" t="s">
        <v>246</v>
      </c>
      <c r="I26" s="352"/>
      <c r="J26" s="356">
        <f t="shared" si="5"/>
        <v>0</v>
      </c>
      <c r="K26" s="161">
        <f t="shared" si="5"/>
        <v>0</v>
      </c>
      <c r="L26" s="161">
        <f t="shared" si="5"/>
        <v>0</v>
      </c>
      <c r="M26" s="161">
        <f t="shared" si="5"/>
        <v>0</v>
      </c>
      <c r="N26" s="423" t="s">
        <v>246</v>
      </c>
      <c r="O26" s="352"/>
      <c r="P26" s="408"/>
      <c r="Q26" s="350"/>
      <c r="R26" s="103"/>
      <c r="S26" s="103"/>
    </row>
    <row r="27" spans="1:19" ht="12" customHeight="1" hidden="1">
      <c r="A27" s="149"/>
      <c r="B27" s="150" t="s">
        <v>111</v>
      </c>
      <c r="C27" s="368" t="s">
        <v>138</v>
      </c>
      <c r="D27" s="374"/>
      <c r="E27" s="169"/>
      <c r="F27" s="169"/>
      <c r="G27" s="169"/>
      <c r="H27" s="424"/>
      <c r="I27" s="353"/>
      <c r="J27" s="374"/>
      <c r="K27" s="169"/>
      <c r="L27" s="169"/>
      <c r="M27" s="169"/>
      <c r="N27" s="424"/>
      <c r="O27" s="353"/>
      <c r="P27" s="409"/>
      <c r="Q27" s="381"/>
      <c r="R27" s="109"/>
      <c r="S27" s="109"/>
    </row>
    <row r="28" spans="1:19" ht="12" customHeight="1" hidden="1">
      <c r="A28" s="151"/>
      <c r="B28" s="152" t="s">
        <v>112</v>
      </c>
      <c r="C28" s="369" t="s">
        <v>51</v>
      </c>
      <c r="D28" s="375"/>
      <c r="E28" s="170"/>
      <c r="F28" s="170"/>
      <c r="G28" s="170"/>
      <c r="H28" s="425"/>
      <c r="I28" s="397"/>
      <c r="J28" s="375"/>
      <c r="K28" s="170"/>
      <c r="L28" s="170"/>
      <c r="M28" s="170"/>
      <c r="N28" s="425"/>
      <c r="O28" s="397"/>
      <c r="P28" s="409"/>
      <c r="Q28" s="381"/>
      <c r="R28" s="109"/>
      <c r="S28" s="109"/>
    </row>
    <row r="29" spans="1:19" ht="12" customHeight="1" hidden="1">
      <c r="A29" s="151"/>
      <c r="B29" s="152" t="s">
        <v>113</v>
      </c>
      <c r="C29" s="369" t="s">
        <v>139</v>
      </c>
      <c r="D29" s="375"/>
      <c r="E29" s="170"/>
      <c r="F29" s="170"/>
      <c r="G29" s="170"/>
      <c r="H29" s="425"/>
      <c r="I29" s="397"/>
      <c r="J29" s="375"/>
      <c r="K29" s="170"/>
      <c r="L29" s="170"/>
      <c r="M29" s="170"/>
      <c r="N29" s="425"/>
      <c r="O29" s="397"/>
      <c r="P29" s="409"/>
      <c r="Q29" s="381"/>
      <c r="R29" s="109"/>
      <c r="S29" s="109"/>
    </row>
    <row r="30" spans="1:19" s="141" customFormat="1" ht="12" customHeight="1" hidden="1">
      <c r="A30" s="151"/>
      <c r="B30" s="152" t="s">
        <v>114</v>
      </c>
      <c r="C30" s="369" t="s">
        <v>81</v>
      </c>
      <c r="D30" s="375"/>
      <c r="E30" s="170"/>
      <c r="F30" s="170"/>
      <c r="G30" s="170"/>
      <c r="H30" s="425"/>
      <c r="I30" s="398"/>
      <c r="J30" s="375"/>
      <c r="K30" s="170"/>
      <c r="L30" s="170"/>
      <c r="M30" s="170"/>
      <c r="N30" s="425"/>
      <c r="O30" s="398"/>
      <c r="P30" s="409"/>
      <c r="Q30" s="381"/>
      <c r="R30" s="109"/>
      <c r="S30" s="109"/>
    </row>
    <row r="31" spans="1:19" ht="12" customHeight="1" hidden="1" thickBot="1">
      <c r="A31" s="151"/>
      <c r="B31" s="152" t="s">
        <v>50</v>
      </c>
      <c r="C31" s="369" t="s">
        <v>83</v>
      </c>
      <c r="D31" s="375"/>
      <c r="E31" s="170"/>
      <c r="F31" s="170"/>
      <c r="G31" s="170"/>
      <c r="H31" s="425"/>
      <c r="I31" s="399"/>
      <c r="J31" s="375"/>
      <c r="K31" s="170"/>
      <c r="L31" s="170"/>
      <c r="M31" s="170"/>
      <c r="N31" s="425"/>
      <c r="O31" s="399"/>
      <c r="P31" s="410"/>
      <c r="Q31" s="382"/>
      <c r="R31" s="153"/>
      <c r="S31" s="153"/>
    </row>
    <row r="32" spans="1:19" ht="12" customHeight="1" hidden="1" thickBot="1">
      <c r="A32" s="113" t="s">
        <v>28</v>
      </c>
      <c r="B32" s="148"/>
      <c r="C32" s="367" t="s">
        <v>140</v>
      </c>
      <c r="D32" s="356">
        <f>SUM(D33:D36)</f>
        <v>0</v>
      </c>
      <c r="E32" s="161">
        <f>SUM(E33:E36)</f>
        <v>0</v>
      </c>
      <c r="F32" s="161">
        <f>SUM(F33:F36)</f>
        <v>0</v>
      </c>
      <c r="G32" s="161">
        <f>SUM(G33:G36)</f>
        <v>0</v>
      </c>
      <c r="H32" s="423"/>
      <c r="I32" s="354"/>
      <c r="J32" s="356"/>
      <c r="K32" s="161"/>
      <c r="L32" s="161">
        <f>SUM(L33:L36)</f>
        <v>0</v>
      </c>
      <c r="M32" s="161">
        <f>SUM(M33:M36)</f>
        <v>0</v>
      </c>
      <c r="N32" s="423"/>
      <c r="O32" s="354"/>
      <c r="P32" s="408"/>
      <c r="Q32" s="350"/>
      <c r="R32" s="103"/>
      <c r="S32" s="103"/>
    </row>
    <row r="33" spans="1:19" ht="12" customHeight="1" hidden="1">
      <c r="A33" s="149"/>
      <c r="B33" s="150" t="s">
        <v>141</v>
      </c>
      <c r="C33" s="368" t="s">
        <v>93</v>
      </c>
      <c r="D33" s="374"/>
      <c r="E33" s="169"/>
      <c r="F33" s="169"/>
      <c r="G33" s="169"/>
      <c r="H33" s="424"/>
      <c r="I33" s="398"/>
      <c r="J33" s="374"/>
      <c r="K33" s="169"/>
      <c r="L33" s="169"/>
      <c r="M33" s="169"/>
      <c r="N33" s="424"/>
      <c r="O33" s="398"/>
      <c r="P33" s="409"/>
      <c r="Q33" s="381"/>
      <c r="R33" s="109"/>
      <c r="S33" s="109"/>
    </row>
    <row r="34" spans="1:19" ht="12" customHeight="1" hidden="1">
      <c r="A34" s="151"/>
      <c r="B34" s="152" t="s">
        <v>142</v>
      </c>
      <c r="C34" s="369" t="s">
        <v>94</v>
      </c>
      <c r="D34" s="375">
        <v>0</v>
      </c>
      <c r="E34" s="170">
        <v>0</v>
      </c>
      <c r="F34" s="170">
        <v>0</v>
      </c>
      <c r="G34" s="170">
        <v>0</v>
      </c>
      <c r="H34" s="425"/>
      <c r="I34" s="399"/>
      <c r="J34" s="375"/>
      <c r="K34" s="170"/>
      <c r="L34" s="170">
        <v>0</v>
      </c>
      <c r="M34" s="170">
        <v>0</v>
      </c>
      <c r="N34" s="425"/>
      <c r="O34" s="399"/>
      <c r="P34" s="410"/>
      <c r="Q34" s="382"/>
      <c r="R34" s="153"/>
      <c r="S34" s="153"/>
    </row>
    <row r="35" spans="1:19" ht="15" customHeight="1" hidden="1">
      <c r="A35" s="151"/>
      <c r="B35" s="152" t="s">
        <v>143</v>
      </c>
      <c r="C35" s="369" t="s">
        <v>144</v>
      </c>
      <c r="D35" s="375"/>
      <c r="E35" s="170"/>
      <c r="F35" s="170"/>
      <c r="G35" s="170"/>
      <c r="H35" s="425"/>
      <c r="I35" s="399"/>
      <c r="J35" s="375"/>
      <c r="K35" s="170"/>
      <c r="L35" s="170"/>
      <c r="M35" s="170"/>
      <c r="N35" s="425"/>
      <c r="O35" s="399"/>
      <c r="P35" s="410"/>
      <c r="Q35" s="382"/>
      <c r="R35" s="153"/>
      <c r="S35" s="153"/>
    </row>
    <row r="36" spans="1:19" ht="13.5" hidden="1" thickBot="1">
      <c r="A36" s="151"/>
      <c r="B36" s="152" t="s">
        <v>145</v>
      </c>
      <c r="C36" s="369" t="s">
        <v>146</v>
      </c>
      <c r="D36" s="375"/>
      <c r="E36" s="170"/>
      <c r="F36" s="170"/>
      <c r="G36" s="170"/>
      <c r="H36" s="425"/>
      <c r="I36" s="399"/>
      <c r="J36" s="375"/>
      <c r="K36" s="170"/>
      <c r="L36" s="170"/>
      <c r="M36" s="170"/>
      <c r="N36" s="425"/>
      <c r="O36" s="399"/>
      <c r="P36" s="410"/>
      <c r="Q36" s="382"/>
      <c r="R36" s="153"/>
      <c r="S36" s="153"/>
    </row>
    <row r="37" spans="1:19" ht="15" customHeight="1" hidden="1" thickBot="1">
      <c r="A37" s="113" t="s">
        <v>10</v>
      </c>
      <c r="B37" s="148"/>
      <c r="C37" s="370" t="s">
        <v>234</v>
      </c>
      <c r="D37" s="361"/>
      <c r="E37" s="165"/>
      <c r="F37" s="165"/>
      <c r="G37" s="165"/>
      <c r="H37" s="426" t="s">
        <v>246</v>
      </c>
      <c r="I37" s="352"/>
      <c r="J37" s="361"/>
      <c r="K37" s="165"/>
      <c r="L37" s="165"/>
      <c r="M37" s="165"/>
      <c r="N37" s="426" t="s">
        <v>246</v>
      </c>
      <c r="O37" s="352"/>
      <c r="P37" s="411"/>
      <c r="Q37" s="351"/>
      <c r="R37" s="123"/>
      <c r="S37" s="123"/>
    </row>
    <row r="38" spans="1:19" ht="14.25" customHeight="1" hidden="1" thickBot="1">
      <c r="A38" s="132" t="s">
        <v>11</v>
      </c>
      <c r="B38" s="244"/>
      <c r="C38" s="371" t="s">
        <v>148</v>
      </c>
      <c r="D38" s="361"/>
      <c r="E38" s="165"/>
      <c r="F38" s="165"/>
      <c r="G38" s="165"/>
      <c r="H38" s="426"/>
      <c r="I38" s="352"/>
      <c r="J38" s="361"/>
      <c r="K38" s="165"/>
      <c r="L38" s="165"/>
      <c r="M38" s="165"/>
      <c r="N38" s="426"/>
      <c r="O38" s="352"/>
      <c r="P38" s="411"/>
      <c r="Q38" s="351"/>
      <c r="R38" s="123"/>
      <c r="S38" s="123"/>
    </row>
    <row r="39" spans="1:19" ht="13.5" hidden="1" thickBot="1">
      <c r="A39" s="113" t="s">
        <v>12</v>
      </c>
      <c r="B39" s="154"/>
      <c r="C39" s="372" t="s">
        <v>149</v>
      </c>
      <c r="D39" s="364">
        <f aca="true" t="shared" si="6" ref="D39:M39">D26+D32+D37+D38</f>
        <v>0</v>
      </c>
      <c r="E39" s="168">
        <f t="shared" si="6"/>
        <v>0</v>
      </c>
      <c r="F39" s="168">
        <f t="shared" si="6"/>
        <v>0</v>
      </c>
      <c r="G39" s="168">
        <f t="shared" si="6"/>
        <v>0</v>
      </c>
      <c r="H39" s="427" t="s">
        <v>246</v>
      </c>
      <c r="I39" s="352"/>
      <c r="J39" s="364">
        <f t="shared" si="6"/>
        <v>0</v>
      </c>
      <c r="K39" s="168">
        <f t="shared" si="6"/>
        <v>0</v>
      </c>
      <c r="L39" s="168">
        <f t="shared" si="6"/>
        <v>0</v>
      </c>
      <c r="M39" s="168">
        <f t="shared" si="6"/>
        <v>0</v>
      </c>
      <c r="N39" s="427" t="s">
        <v>246</v>
      </c>
      <c r="O39" s="352"/>
      <c r="P39" s="412"/>
      <c r="Q39" s="137"/>
      <c r="R39" s="155"/>
      <c r="S39" s="155"/>
    </row>
    <row r="40" spans="4:19" ht="13.5" hidden="1" thickBot="1">
      <c r="D40" s="403"/>
      <c r="E40" s="404"/>
      <c r="F40" s="404"/>
      <c r="G40" s="404"/>
      <c r="H40" s="428"/>
      <c r="I40" s="247"/>
      <c r="J40" s="403"/>
      <c r="K40" s="404"/>
      <c r="L40" s="404"/>
      <c r="M40" s="404"/>
      <c r="N40" s="428"/>
      <c r="O40" s="247"/>
      <c r="P40" s="413"/>
      <c r="Q40" s="247"/>
      <c r="R40" s="247"/>
      <c r="S40" s="247"/>
    </row>
    <row r="41" spans="1:19" ht="13.5" hidden="1" thickBot="1">
      <c r="A41" s="157" t="s">
        <v>150</v>
      </c>
      <c r="B41" s="158"/>
      <c r="C41" s="373"/>
      <c r="D41" s="387"/>
      <c r="E41" s="173"/>
      <c r="F41" s="173"/>
      <c r="G41" s="173"/>
      <c r="H41" s="429"/>
      <c r="I41" s="352"/>
      <c r="J41" s="387"/>
      <c r="K41" s="173"/>
      <c r="L41" s="173"/>
      <c r="M41" s="173"/>
      <c r="N41" s="429"/>
      <c r="O41" s="352"/>
      <c r="P41" s="414"/>
      <c r="Q41" s="172"/>
      <c r="R41" s="172"/>
      <c r="S41" s="172"/>
    </row>
    <row r="42" spans="1:19" ht="13.5" hidden="1" thickBot="1">
      <c r="A42" s="157" t="s">
        <v>151</v>
      </c>
      <c r="B42" s="158"/>
      <c r="C42" s="373"/>
      <c r="D42" s="387"/>
      <c r="E42" s="173"/>
      <c r="F42" s="173"/>
      <c r="G42" s="173"/>
      <c r="H42" s="429"/>
      <c r="I42" s="352"/>
      <c r="J42" s="387"/>
      <c r="K42" s="173"/>
      <c r="L42" s="173"/>
      <c r="M42" s="173"/>
      <c r="N42" s="429"/>
      <c r="O42" s="352"/>
      <c r="P42" s="414"/>
      <c r="Q42" s="172"/>
      <c r="R42" s="172"/>
      <c r="S42" s="172"/>
    </row>
    <row r="43" ht="12.75" hidden="1"/>
    <row r="44" spans="1:9" ht="12.75" hidden="1">
      <c r="A44" s="1440" t="s">
        <v>152</v>
      </c>
      <c r="B44" s="1440"/>
      <c r="C44" s="1440"/>
      <c r="D44" s="1440"/>
      <c r="E44" s="232"/>
      <c r="F44" s="232"/>
      <c r="G44" s="232"/>
      <c r="H44" s="232"/>
      <c r="I44" s="232"/>
    </row>
    <row r="45" spans="1:9" ht="12.75" hidden="1">
      <c r="A45" s="1440"/>
      <c r="B45" s="1440"/>
      <c r="C45" s="1440"/>
      <c r="E45" s="248"/>
      <c r="F45" s="248"/>
      <c r="G45" s="248"/>
      <c r="H45" s="248"/>
      <c r="I45" s="248"/>
    </row>
    <row r="46" spans="4:9" ht="12.75" hidden="1">
      <c r="D46" s="248">
        <v>0</v>
      </c>
      <c r="E46" s="248"/>
      <c r="F46" s="248"/>
      <c r="G46" s="248"/>
      <c r="H46" s="248"/>
      <c r="I46" s="248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zoomScale="75" zoomScaleNormal="75" zoomScalePageLayoutView="0" workbookViewId="0" topLeftCell="E22">
      <selection activeCell="F31" sqref="F31"/>
    </sheetView>
  </sheetViews>
  <sheetFormatPr defaultColWidth="9.140625" defaultRowHeight="12.75"/>
  <cols>
    <col min="1" max="2" width="5.7109375" style="47" customWidth="1"/>
    <col min="3" max="3" width="8.8515625" style="47" customWidth="1"/>
    <col min="4" max="4" width="56.00390625" style="12" bestFit="1" customWidth="1"/>
    <col min="5" max="5" width="22.57421875" style="249" customWidth="1"/>
    <col min="6" max="6" width="19.00390625" style="249" hidden="1" customWidth="1"/>
    <col min="7" max="7" width="17.421875" style="249" hidden="1" customWidth="1"/>
    <col min="8" max="10" width="17.8515625" style="249" customWidth="1"/>
    <col min="11" max="11" width="17.8515625" style="249" hidden="1" customWidth="1"/>
    <col min="12" max="12" width="17.8515625" style="249" customWidth="1"/>
    <col min="13" max="14" width="17.8515625" style="249" hidden="1" customWidth="1"/>
    <col min="15" max="17" width="17.8515625" style="249" customWidth="1"/>
    <col min="18" max="18" width="17.8515625" style="249" hidden="1" customWidth="1"/>
    <col min="19" max="19" width="17.8515625" style="250" customWidth="1"/>
    <col min="20" max="21" width="17.8515625" style="249" hidden="1" customWidth="1"/>
    <col min="22" max="22" width="17.8515625" style="249" customWidth="1"/>
    <col min="23" max="24" width="17.8515625" style="250" customWidth="1"/>
    <col min="25" max="25" width="17.8515625" style="250" hidden="1" customWidth="1"/>
    <col min="26" max="26" width="17.8515625" style="250" customWidth="1"/>
    <col min="27" max="16384" width="9.140625" style="250" customWidth="1"/>
  </cols>
  <sheetData>
    <row r="1" spans="1:23" ht="12.75">
      <c r="A1" s="44"/>
      <c r="B1" s="44"/>
      <c r="C1" s="44"/>
      <c r="D1" s="45"/>
      <c r="S1" s="1430" t="s">
        <v>562</v>
      </c>
      <c r="T1" s="1430"/>
      <c r="U1" s="1430"/>
      <c r="V1" s="1430"/>
      <c r="W1" s="1430"/>
    </row>
    <row r="2" spans="1:20" ht="34.5" customHeight="1">
      <c r="A2" s="1385" t="s">
        <v>542</v>
      </c>
      <c r="B2" s="1385"/>
      <c r="C2" s="1385"/>
      <c r="D2" s="1385"/>
      <c r="E2" s="1385"/>
      <c r="F2" s="1385"/>
      <c r="G2" s="1385"/>
      <c r="H2" s="1385"/>
      <c r="I2" s="1385"/>
      <c r="J2" s="1385"/>
      <c r="K2" s="1385"/>
      <c r="L2" s="1385"/>
      <c r="M2" s="1385"/>
      <c r="N2" s="1385"/>
      <c r="O2" s="1385"/>
      <c r="P2" s="1385"/>
      <c r="Q2" s="1385"/>
      <c r="R2" s="1385"/>
      <c r="S2" s="1385"/>
      <c r="T2" s="185"/>
    </row>
    <row r="3" spans="1:19" ht="13.5" thickBot="1">
      <c r="A3" s="46"/>
      <c r="B3" s="46"/>
      <c r="C3" s="46"/>
      <c r="D3" s="42"/>
      <c r="L3" s="3"/>
      <c r="M3" s="3"/>
      <c r="N3" s="3"/>
      <c r="O3" s="3"/>
      <c r="P3" s="3"/>
      <c r="Q3" s="3"/>
      <c r="R3" s="3"/>
      <c r="S3" s="18" t="s">
        <v>443</v>
      </c>
    </row>
    <row r="4" spans="1:25" ht="45.75" customHeight="1" thickBot="1">
      <c r="A4" s="1386" t="s">
        <v>6</v>
      </c>
      <c r="B4" s="1387"/>
      <c r="C4" s="1387"/>
      <c r="D4" s="251" t="s">
        <v>9</v>
      </c>
      <c r="E4" s="1369" t="s">
        <v>5</v>
      </c>
      <c r="F4" s="1370"/>
      <c r="G4" s="1370"/>
      <c r="H4" s="1370"/>
      <c r="I4" s="1370"/>
      <c r="J4" s="1370"/>
      <c r="K4" s="1371"/>
      <c r="L4" s="1369" t="s">
        <v>61</v>
      </c>
      <c r="M4" s="1370"/>
      <c r="N4" s="1370"/>
      <c r="O4" s="1370"/>
      <c r="P4" s="1370"/>
      <c r="Q4" s="1370"/>
      <c r="R4" s="1371"/>
      <c r="S4" s="1369" t="s">
        <v>62</v>
      </c>
      <c r="T4" s="1370"/>
      <c r="U4" s="1370"/>
      <c r="V4" s="1370"/>
      <c r="W4" s="1370"/>
      <c r="X4" s="1370"/>
      <c r="Y4" s="1371"/>
    </row>
    <row r="5" spans="1:25" ht="45.75" customHeight="1" thickBot="1">
      <c r="A5" s="238"/>
      <c r="B5" s="239"/>
      <c r="C5" s="239"/>
      <c r="D5" s="251"/>
      <c r="E5" s="281" t="s">
        <v>65</v>
      </c>
      <c r="F5" s="282" t="s">
        <v>226</v>
      </c>
      <c r="G5" s="282" t="s">
        <v>231</v>
      </c>
      <c r="H5" s="282" t="s">
        <v>233</v>
      </c>
      <c r="I5" s="282" t="s">
        <v>399</v>
      </c>
      <c r="J5" s="283" t="s">
        <v>431</v>
      </c>
      <c r="K5" s="283" t="s">
        <v>431</v>
      </c>
      <c r="L5" s="281" t="s">
        <v>65</v>
      </c>
      <c r="M5" s="282" t="s">
        <v>226</v>
      </c>
      <c r="N5" s="282" t="s">
        <v>231</v>
      </c>
      <c r="O5" s="282" t="s">
        <v>233</v>
      </c>
      <c r="P5" s="282" t="s">
        <v>399</v>
      </c>
      <c r="Q5" s="283" t="s">
        <v>431</v>
      </c>
      <c r="R5" s="283" t="s">
        <v>431</v>
      </c>
      <c r="S5" s="281" t="s">
        <v>65</v>
      </c>
      <c r="T5" s="282" t="s">
        <v>226</v>
      </c>
      <c r="U5" s="282" t="s">
        <v>231</v>
      </c>
      <c r="V5" s="282" t="s">
        <v>233</v>
      </c>
      <c r="W5" s="282" t="s">
        <v>399</v>
      </c>
      <c r="X5" s="283" t="s">
        <v>431</v>
      </c>
      <c r="Y5" s="283" t="s">
        <v>431</v>
      </c>
    </row>
    <row r="6" spans="1:25" s="6" customFormat="1" ht="21.75" customHeight="1" thickBot="1">
      <c r="A6" s="57"/>
      <c r="B6" s="1368"/>
      <c r="C6" s="1368"/>
      <c r="D6" s="1368"/>
      <c r="E6" s="785"/>
      <c r="F6" s="786"/>
      <c r="G6" s="786"/>
      <c r="H6" s="786"/>
      <c r="I6" s="786"/>
      <c r="J6" s="786"/>
      <c r="K6" s="787"/>
      <c r="L6" s="785"/>
      <c r="M6" s="786"/>
      <c r="N6" s="786"/>
      <c r="O6" s="786"/>
      <c r="P6" s="786"/>
      <c r="Q6" s="786"/>
      <c r="R6" s="787"/>
      <c r="S6" s="785"/>
      <c r="T6" s="785"/>
      <c r="U6" s="786"/>
      <c r="V6" s="786"/>
      <c r="W6" s="786"/>
      <c r="X6" s="786"/>
      <c r="Y6" s="787"/>
    </row>
    <row r="7" spans="1:25" s="6" customFormat="1" ht="21.75" customHeight="1" thickBot="1">
      <c r="A7" s="57" t="s">
        <v>27</v>
      </c>
      <c r="B7" s="1368" t="s">
        <v>282</v>
      </c>
      <c r="C7" s="1368"/>
      <c r="D7" s="1368"/>
      <c r="E7" s="785">
        <f>E8+E13+E16+E17+E20</f>
        <v>183340000</v>
      </c>
      <c r="F7" s="785">
        <f>F8+F13+F16+F17+F20</f>
        <v>183340000</v>
      </c>
      <c r="G7" s="785">
        <f>G8+G13+G16+G17+G20</f>
        <v>183340000</v>
      </c>
      <c r="H7" s="785">
        <f>H8+H13+H16+H17+H20</f>
        <v>203047851</v>
      </c>
      <c r="I7" s="786">
        <f>I8+I13+I16+I17+I20</f>
        <v>200819772</v>
      </c>
      <c r="J7" s="912">
        <f>+I7/H7</f>
        <v>0.9890268279667732</v>
      </c>
      <c r="K7" s="912">
        <f>+J7/I7</f>
        <v>4.924947469648423E-09</v>
      </c>
      <c r="L7" s="786">
        <f aca="true" t="shared" si="0" ref="L7:R7">L8+L13+L16+L17+L20</f>
        <v>164901213</v>
      </c>
      <c r="M7" s="786">
        <f>M8+M13+M16+M17+M20</f>
        <v>163340761</v>
      </c>
      <c r="N7" s="786">
        <f>N8+N13+N16+N17+N20</f>
        <v>162674373</v>
      </c>
      <c r="O7" s="786">
        <f t="shared" si="0"/>
        <v>174772669</v>
      </c>
      <c r="P7" s="786">
        <f>P8+P13+P16+P17+P20</f>
        <v>172544590</v>
      </c>
      <c r="Q7" s="912">
        <f>+P7/O7</f>
        <v>0.9872515593384913</v>
      </c>
      <c r="R7" s="787" t="e">
        <f t="shared" si="0"/>
        <v>#DIV/0!</v>
      </c>
      <c r="S7" s="785">
        <f>S8+S13+S16</f>
        <v>18438787</v>
      </c>
      <c r="T7" s="785">
        <f>T8+T13+T16</f>
        <v>19999239</v>
      </c>
      <c r="U7" s="785">
        <f>U8+U13+U16</f>
        <v>20665627</v>
      </c>
      <c r="V7" s="785">
        <f>V8+V13+V16</f>
        <v>28275182</v>
      </c>
      <c r="W7" s="786">
        <f>W8+W13+W16</f>
        <v>28275182</v>
      </c>
      <c r="X7" s="912">
        <f>+W7/V7</f>
        <v>1</v>
      </c>
      <c r="Y7" s="788">
        <f>W7/V7</f>
        <v>1</v>
      </c>
    </row>
    <row r="8" spans="1:25" ht="21.75" customHeight="1">
      <c r="A8" s="483"/>
      <c r="B8" s="187" t="s">
        <v>36</v>
      </c>
      <c r="C8" s="1376" t="s">
        <v>283</v>
      </c>
      <c r="D8" s="1376"/>
      <c r="E8" s="789">
        <f>SUM(E9:E12)</f>
        <v>18780000</v>
      </c>
      <c r="F8" s="789">
        <f>SUM(F9:F12)</f>
        <v>18780000</v>
      </c>
      <c r="G8" s="789">
        <f>SUM(G9:G12)</f>
        <v>18780000</v>
      </c>
      <c r="H8" s="789">
        <f>SUM(H9:H12)</f>
        <v>20016326</v>
      </c>
      <c r="I8" s="789">
        <f>SUM(I9:I12)</f>
        <v>19923995</v>
      </c>
      <c r="J8" s="913">
        <f>+I8/H8</f>
        <v>0.9953872154160559</v>
      </c>
      <c r="K8" s="913">
        <f aca="true" t="shared" si="1" ref="K8:K62">+J8/I8</f>
        <v>4.9959218290109785E-08</v>
      </c>
      <c r="L8" s="790">
        <f aca="true" t="shared" si="2" ref="L8:R8">SUM(L9:L12)</f>
        <v>18780000</v>
      </c>
      <c r="M8" s="790">
        <f t="shared" si="2"/>
        <v>18780000</v>
      </c>
      <c r="N8" s="790">
        <f>SUM(N9:N12)</f>
        <v>18780000</v>
      </c>
      <c r="O8" s="790">
        <f t="shared" si="2"/>
        <v>20016326</v>
      </c>
      <c r="P8" s="790">
        <f>SUM(P9:P12)</f>
        <v>19923995</v>
      </c>
      <c r="Q8" s="913">
        <f>+P8/O8</f>
        <v>0.9953872154160559</v>
      </c>
      <c r="R8" s="792">
        <f t="shared" si="2"/>
        <v>4.9959218290109785E-08</v>
      </c>
      <c r="S8" s="789">
        <v>0</v>
      </c>
      <c r="T8" s="789">
        <v>0</v>
      </c>
      <c r="U8" s="789">
        <v>0</v>
      </c>
      <c r="V8" s="789">
        <v>0</v>
      </c>
      <c r="W8" s="790">
        <v>0</v>
      </c>
      <c r="X8" s="913"/>
      <c r="Y8" s="791"/>
    </row>
    <row r="9" spans="1:25" ht="21.75" customHeight="1">
      <c r="A9" s="54"/>
      <c r="B9" s="50"/>
      <c r="C9" s="50" t="s">
        <v>288</v>
      </c>
      <c r="D9" s="188" t="s">
        <v>284</v>
      </c>
      <c r="E9" s="793">
        <v>0</v>
      </c>
      <c r="F9" s="793">
        <v>0</v>
      </c>
      <c r="G9" s="793">
        <v>0</v>
      </c>
      <c r="H9" s="793">
        <v>0</v>
      </c>
      <c r="I9" s="794">
        <v>0</v>
      </c>
      <c r="J9" s="914"/>
      <c r="K9" s="914"/>
      <c r="L9" s="794">
        <v>0</v>
      </c>
      <c r="M9" s="794">
        <v>0</v>
      </c>
      <c r="N9" s="794">
        <v>0</v>
      </c>
      <c r="O9" s="794">
        <v>0</v>
      </c>
      <c r="P9" s="794">
        <v>0</v>
      </c>
      <c r="Q9" s="914"/>
      <c r="R9" s="795">
        <v>0</v>
      </c>
      <c r="S9" s="793">
        <v>0</v>
      </c>
      <c r="T9" s="793">
        <v>0</v>
      </c>
      <c r="U9" s="793">
        <v>0</v>
      </c>
      <c r="V9" s="793">
        <v>0</v>
      </c>
      <c r="W9" s="794">
        <v>0</v>
      </c>
      <c r="X9" s="914"/>
      <c r="Y9" s="602"/>
    </row>
    <row r="10" spans="1:25" ht="21.75" customHeight="1">
      <c r="A10" s="54"/>
      <c r="B10" s="50"/>
      <c r="C10" s="50" t="s">
        <v>289</v>
      </c>
      <c r="D10" s="188" t="s">
        <v>269</v>
      </c>
      <c r="E10" s="793">
        <v>0</v>
      </c>
      <c r="F10" s="793">
        <v>0</v>
      </c>
      <c r="G10" s="793">
        <v>0</v>
      </c>
      <c r="H10" s="793">
        <v>0</v>
      </c>
      <c r="I10" s="793">
        <v>0</v>
      </c>
      <c r="J10" s="915"/>
      <c r="K10" s="915"/>
      <c r="L10" s="794">
        <v>0</v>
      </c>
      <c r="M10" s="794">
        <v>0</v>
      </c>
      <c r="N10" s="794">
        <v>0</v>
      </c>
      <c r="O10" s="794">
        <v>0</v>
      </c>
      <c r="P10" s="794">
        <v>0</v>
      </c>
      <c r="Q10" s="915"/>
      <c r="R10" s="795">
        <v>0</v>
      </c>
      <c r="S10" s="793">
        <v>0</v>
      </c>
      <c r="T10" s="793">
        <v>0</v>
      </c>
      <c r="U10" s="793">
        <v>0</v>
      </c>
      <c r="V10" s="793">
        <v>0</v>
      </c>
      <c r="W10" s="794">
        <v>0</v>
      </c>
      <c r="X10" s="915"/>
      <c r="Y10" s="602"/>
    </row>
    <row r="11" spans="1:25" ht="21.75" customHeight="1">
      <c r="A11" s="54"/>
      <c r="B11" s="50"/>
      <c r="C11" s="50" t="s">
        <v>290</v>
      </c>
      <c r="D11" s="188" t="s">
        <v>268</v>
      </c>
      <c r="E11" s="793">
        <v>18780000</v>
      </c>
      <c r="F11" s="793">
        <v>18780000</v>
      </c>
      <c r="G11" s="793">
        <v>18780000</v>
      </c>
      <c r="H11" s="793">
        <v>20016326</v>
      </c>
      <c r="I11" s="793">
        <v>19923995</v>
      </c>
      <c r="J11" s="915">
        <f>+I11/H11</f>
        <v>0.9953872154160559</v>
      </c>
      <c r="K11" s="915">
        <f t="shared" si="1"/>
        <v>4.9959218290109785E-08</v>
      </c>
      <c r="L11" s="752">
        <f>E11</f>
        <v>18780000</v>
      </c>
      <c r="M11" s="752">
        <f>F11</f>
        <v>18780000</v>
      </c>
      <c r="N11" s="752">
        <f>G11</f>
        <v>18780000</v>
      </c>
      <c r="O11" s="794">
        <f>H11-V11</f>
        <v>20016326</v>
      </c>
      <c r="P11" s="794">
        <f>I11-W11</f>
        <v>19923995</v>
      </c>
      <c r="Q11" s="915">
        <f>+P11/O11</f>
        <v>0.9953872154160559</v>
      </c>
      <c r="R11" s="768">
        <f>K11</f>
        <v>4.9959218290109785E-08</v>
      </c>
      <c r="S11" s="793">
        <v>0</v>
      </c>
      <c r="T11" s="793">
        <v>0</v>
      </c>
      <c r="U11" s="793">
        <v>0</v>
      </c>
      <c r="V11" s="793">
        <v>0</v>
      </c>
      <c r="W11" s="794">
        <v>0</v>
      </c>
      <c r="X11" s="915"/>
      <c r="Y11" s="602"/>
    </row>
    <row r="12" spans="1:35" ht="21.75" customHeight="1" hidden="1">
      <c r="A12" s="54"/>
      <c r="B12" s="50"/>
      <c r="C12" s="50"/>
      <c r="D12" s="188"/>
      <c r="E12" s="796"/>
      <c r="F12" s="796"/>
      <c r="G12" s="796"/>
      <c r="H12" s="796"/>
      <c r="I12" s="796"/>
      <c r="J12" s="916" t="e">
        <f>+I12/H12</f>
        <v>#DIV/0!</v>
      </c>
      <c r="K12" s="916" t="e">
        <f t="shared" si="1"/>
        <v>#DIV/0!</v>
      </c>
      <c r="L12" s="797"/>
      <c r="M12" s="797"/>
      <c r="N12" s="797"/>
      <c r="O12" s="797"/>
      <c r="P12" s="797"/>
      <c r="Q12" s="916" t="e">
        <f>+P12/O12</f>
        <v>#DIV/0!</v>
      </c>
      <c r="R12" s="798"/>
      <c r="S12" s="796"/>
      <c r="T12" s="796"/>
      <c r="U12" s="796"/>
      <c r="V12" s="796"/>
      <c r="W12" s="797"/>
      <c r="X12" s="916" t="e">
        <f>+W12/V12</f>
        <v>#DIV/0!</v>
      </c>
      <c r="Y12" s="602" t="e">
        <f>W12/V12</f>
        <v>#DIV/0!</v>
      </c>
      <c r="AI12" s="250" t="s">
        <v>242</v>
      </c>
    </row>
    <row r="13" spans="1:25" ht="21.75" customHeight="1">
      <c r="A13" s="54"/>
      <c r="B13" s="50" t="s">
        <v>37</v>
      </c>
      <c r="C13" s="1380" t="s">
        <v>285</v>
      </c>
      <c r="D13" s="1380"/>
      <c r="E13" s="796">
        <f>SUM(E14:E15)</f>
        <v>150000000</v>
      </c>
      <c r="F13" s="796">
        <f>SUM(F14:F15)</f>
        <v>150000000</v>
      </c>
      <c r="G13" s="796">
        <f>SUM(G14:G15)</f>
        <v>150000000</v>
      </c>
      <c r="H13" s="796">
        <f>SUM(H14:H15)</f>
        <v>166418289</v>
      </c>
      <c r="I13" s="796">
        <f>SUM(I14:I15)</f>
        <v>165405197</v>
      </c>
      <c r="J13" s="916">
        <f>+I13/H13</f>
        <v>0.9939123758206647</v>
      </c>
      <c r="K13" s="916">
        <f t="shared" si="1"/>
        <v>6.0089549412444685E-09</v>
      </c>
      <c r="L13" s="797">
        <f>SUM(L14:L15)</f>
        <v>131561213</v>
      </c>
      <c r="M13" s="797">
        <f>SUM(M14:M15)</f>
        <v>130000761</v>
      </c>
      <c r="N13" s="797">
        <f>SUM(N14:N15)</f>
        <v>129334373</v>
      </c>
      <c r="O13" s="797">
        <f>SUM(O14:O15)</f>
        <v>138143107</v>
      </c>
      <c r="P13" s="797">
        <f>SUM(P14:P15)</f>
        <v>137130015</v>
      </c>
      <c r="Q13" s="916">
        <f>+P13/O13</f>
        <v>0.9926663586623978</v>
      </c>
      <c r="R13" s="798">
        <f aca="true" t="shared" si="3" ref="R13:W13">SUM(R14:R15)</f>
        <v>100000001</v>
      </c>
      <c r="S13" s="796">
        <f t="shared" si="3"/>
        <v>18438787</v>
      </c>
      <c r="T13" s="796">
        <f t="shared" si="3"/>
        <v>19999239</v>
      </c>
      <c r="U13" s="796">
        <f t="shared" si="3"/>
        <v>20665627</v>
      </c>
      <c r="V13" s="796">
        <f t="shared" si="3"/>
        <v>28275182</v>
      </c>
      <c r="W13" s="797">
        <f t="shared" si="3"/>
        <v>28275182</v>
      </c>
      <c r="X13" s="916">
        <f>+W13/V13</f>
        <v>1</v>
      </c>
      <c r="Y13" s="602">
        <f>W13/V13</f>
        <v>1</v>
      </c>
    </row>
    <row r="14" spans="1:26" ht="21.75" customHeight="1">
      <c r="A14" s="54"/>
      <c r="B14" s="50"/>
      <c r="C14" s="50" t="s">
        <v>286</v>
      </c>
      <c r="D14" s="432" t="s">
        <v>487</v>
      </c>
      <c r="E14" s="793">
        <v>150000000</v>
      </c>
      <c r="F14" s="793">
        <v>150000000</v>
      </c>
      <c r="G14" s="793">
        <v>150000000</v>
      </c>
      <c r="H14" s="793">
        <v>166418289</v>
      </c>
      <c r="I14" s="794">
        <v>165405197</v>
      </c>
      <c r="J14" s="914">
        <f>+I14/H14</f>
        <v>0.9939123758206647</v>
      </c>
      <c r="K14" s="914">
        <f t="shared" si="1"/>
        <v>6.0089549412444685E-09</v>
      </c>
      <c r="L14" s="794">
        <f>E14-S14</f>
        <v>131561213</v>
      </c>
      <c r="M14" s="794">
        <f>F14-T14</f>
        <v>130000761</v>
      </c>
      <c r="N14" s="794">
        <f>G14-U14</f>
        <v>129334373</v>
      </c>
      <c r="O14" s="794">
        <f>H14-V14</f>
        <v>138143107</v>
      </c>
      <c r="P14" s="794">
        <f>I14-W14</f>
        <v>137130015</v>
      </c>
      <c r="Q14" s="914">
        <f>+P14/O14</f>
        <v>0.9926663586623978</v>
      </c>
      <c r="R14" s="795">
        <f>100000000-Y14</f>
        <v>99999999</v>
      </c>
      <c r="S14" s="793">
        <v>18438787</v>
      </c>
      <c r="T14" s="793">
        <f>18438787+1560452</f>
        <v>19999239</v>
      </c>
      <c r="U14" s="793">
        <f>18438787+1560452+666388</f>
        <v>20665627</v>
      </c>
      <c r="V14" s="793">
        <f>18438787+1560452+666388+7609555</f>
        <v>28275182</v>
      </c>
      <c r="W14" s="793">
        <f>18438787+1560452+666388+7609555</f>
        <v>28275182</v>
      </c>
      <c r="X14" s="914">
        <f>+W14/V14</f>
        <v>1</v>
      </c>
      <c r="Y14" s="602">
        <f>W14/V14</f>
        <v>1</v>
      </c>
      <c r="Z14" s="249"/>
    </row>
    <row r="15" spans="1:25" ht="21.75" customHeight="1">
      <c r="A15" s="54"/>
      <c r="B15" s="50"/>
      <c r="C15" s="50" t="s">
        <v>287</v>
      </c>
      <c r="D15" s="432" t="s">
        <v>292</v>
      </c>
      <c r="E15" s="793"/>
      <c r="F15" s="793"/>
      <c r="G15" s="793"/>
      <c r="H15" s="793"/>
      <c r="I15" s="794"/>
      <c r="J15" s="914"/>
      <c r="K15" s="914"/>
      <c r="L15" s="794">
        <v>0</v>
      </c>
      <c r="M15" s="794">
        <v>0</v>
      </c>
      <c r="N15" s="794">
        <v>0</v>
      </c>
      <c r="O15" s="794">
        <v>0</v>
      </c>
      <c r="P15" s="794">
        <v>0</v>
      </c>
      <c r="Q15" s="914"/>
      <c r="R15" s="795">
        <v>2</v>
      </c>
      <c r="S15" s="793">
        <v>0</v>
      </c>
      <c r="T15" s="793">
        <v>0</v>
      </c>
      <c r="U15" s="793">
        <v>0</v>
      </c>
      <c r="V15" s="793">
        <v>0</v>
      </c>
      <c r="W15" s="794">
        <v>0</v>
      </c>
      <c r="X15" s="914"/>
      <c r="Y15" s="602"/>
    </row>
    <row r="16" spans="1:25" ht="21.75" customHeight="1">
      <c r="A16" s="54"/>
      <c r="B16" s="50" t="s">
        <v>113</v>
      </c>
      <c r="C16" s="1380" t="s">
        <v>293</v>
      </c>
      <c r="D16" s="1380"/>
      <c r="E16" s="793">
        <v>13500000</v>
      </c>
      <c r="F16" s="793">
        <v>13500000</v>
      </c>
      <c r="G16" s="793">
        <v>13500000</v>
      </c>
      <c r="H16" s="793">
        <v>14520554</v>
      </c>
      <c r="I16" s="794">
        <v>13908900</v>
      </c>
      <c r="J16" s="914">
        <f>+I16/H16</f>
        <v>0.9578766760551973</v>
      </c>
      <c r="K16" s="914">
        <f t="shared" si="1"/>
        <v>6.886789581168873E-08</v>
      </c>
      <c r="L16" s="752">
        <f>E16</f>
        <v>13500000</v>
      </c>
      <c r="M16" s="752">
        <f>F16</f>
        <v>13500000</v>
      </c>
      <c r="N16" s="752">
        <f>G16</f>
        <v>13500000</v>
      </c>
      <c r="O16" s="794">
        <f>H16-V16</f>
        <v>14520554</v>
      </c>
      <c r="P16" s="794">
        <f>I16-W16</f>
        <v>13908900</v>
      </c>
      <c r="Q16" s="914">
        <f>+P16/O16</f>
        <v>0.9578766760551973</v>
      </c>
      <c r="R16" s="768">
        <f>K16</f>
        <v>6.886789581168873E-08</v>
      </c>
      <c r="S16" s="793">
        <v>0</v>
      </c>
      <c r="T16" s="793">
        <v>0</v>
      </c>
      <c r="U16" s="793">
        <v>0</v>
      </c>
      <c r="V16" s="793">
        <v>0</v>
      </c>
      <c r="W16" s="794">
        <v>0</v>
      </c>
      <c r="X16" s="914"/>
      <c r="Y16" s="602"/>
    </row>
    <row r="17" spans="1:25" ht="21.75" customHeight="1">
      <c r="A17" s="54"/>
      <c r="B17" s="50" t="s">
        <v>49</v>
      </c>
      <c r="C17" s="1381" t="s">
        <v>294</v>
      </c>
      <c r="D17" s="1381"/>
      <c r="E17" s="796">
        <f>SUM(E18:E19)</f>
        <v>0</v>
      </c>
      <c r="F17" s="796">
        <f>SUM(F18:F19)</f>
        <v>0</v>
      </c>
      <c r="G17" s="796">
        <f>SUM(G18:G19)</f>
        <v>0</v>
      </c>
      <c r="H17" s="796">
        <f>SUM(H18:H19)</f>
        <v>0</v>
      </c>
      <c r="I17" s="797">
        <v>0</v>
      </c>
      <c r="J17" s="917"/>
      <c r="K17" s="917"/>
      <c r="L17" s="797">
        <v>0</v>
      </c>
      <c r="M17" s="797">
        <v>0</v>
      </c>
      <c r="N17" s="797">
        <v>0</v>
      </c>
      <c r="O17" s="797">
        <f>SUM(O18:O19)</f>
        <v>0</v>
      </c>
      <c r="P17" s="797">
        <f>SUM(P18:P19)</f>
        <v>0</v>
      </c>
      <c r="Q17" s="917"/>
      <c r="R17" s="798" t="e">
        <f>SUM(R18:R19)</f>
        <v>#DIV/0!</v>
      </c>
      <c r="S17" s="796">
        <v>0</v>
      </c>
      <c r="T17" s="796">
        <v>0</v>
      </c>
      <c r="U17" s="796">
        <v>0</v>
      </c>
      <c r="V17" s="796">
        <v>0</v>
      </c>
      <c r="W17" s="797">
        <v>0</v>
      </c>
      <c r="X17" s="917"/>
      <c r="Y17" s="602"/>
    </row>
    <row r="18" spans="1:25" ht="21.75" customHeight="1">
      <c r="A18" s="54"/>
      <c r="B18" s="50"/>
      <c r="C18" s="50" t="s">
        <v>295</v>
      </c>
      <c r="D18" s="432" t="s">
        <v>297</v>
      </c>
      <c r="E18" s="793">
        <v>0</v>
      </c>
      <c r="F18" s="793">
        <v>0</v>
      </c>
      <c r="G18" s="793">
        <v>0</v>
      </c>
      <c r="H18" s="793">
        <v>0</v>
      </c>
      <c r="I18" s="794">
        <v>0</v>
      </c>
      <c r="J18" s="914"/>
      <c r="K18" s="914"/>
      <c r="L18" s="794">
        <v>0</v>
      </c>
      <c r="M18" s="794">
        <v>0</v>
      </c>
      <c r="N18" s="794">
        <v>0</v>
      </c>
      <c r="O18" s="794">
        <v>0</v>
      </c>
      <c r="P18" s="794">
        <v>0</v>
      </c>
      <c r="Q18" s="914"/>
      <c r="R18" s="795">
        <v>2</v>
      </c>
      <c r="S18" s="793">
        <v>0</v>
      </c>
      <c r="T18" s="793">
        <v>0</v>
      </c>
      <c r="U18" s="793">
        <v>0</v>
      </c>
      <c r="V18" s="793">
        <v>0</v>
      </c>
      <c r="W18" s="794">
        <v>0</v>
      </c>
      <c r="X18" s="914"/>
      <c r="Y18" s="602"/>
    </row>
    <row r="19" spans="1:25" ht="21.75" customHeight="1" hidden="1">
      <c r="A19" s="54"/>
      <c r="B19" s="50"/>
      <c r="C19" s="50" t="s">
        <v>296</v>
      </c>
      <c r="D19" s="432" t="s">
        <v>270</v>
      </c>
      <c r="E19" s="793"/>
      <c r="F19" s="793"/>
      <c r="G19" s="793"/>
      <c r="H19" s="793"/>
      <c r="I19" s="794"/>
      <c r="J19" s="914" t="e">
        <f aca="true" t="shared" si="4" ref="J19:J26">+I19/H19</f>
        <v>#DIV/0!</v>
      </c>
      <c r="K19" s="914" t="e">
        <f t="shared" si="1"/>
        <v>#DIV/0!</v>
      </c>
      <c r="L19" s="752">
        <f aca="true" t="shared" si="5" ref="L19:N20">E19</f>
        <v>0</v>
      </c>
      <c r="M19" s="752">
        <f t="shared" si="5"/>
        <v>0</v>
      </c>
      <c r="N19" s="752">
        <f t="shared" si="5"/>
        <v>0</v>
      </c>
      <c r="O19" s="794"/>
      <c r="P19" s="794"/>
      <c r="Q19" s="914" t="e">
        <f aca="true" t="shared" si="6" ref="Q19:Q26">+P19/O19</f>
        <v>#DIV/0!</v>
      </c>
      <c r="R19" s="768" t="e">
        <f>K19</f>
        <v>#DIV/0!</v>
      </c>
      <c r="S19" s="793">
        <v>0</v>
      </c>
      <c r="T19" s="793">
        <v>0</v>
      </c>
      <c r="U19" s="793">
        <v>0</v>
      </c>
      <c r="V19" s="793">
        <v>0</v>
      </c>
      <c r="W19" s="794">
        <v>0</v>
      </c>
      <c r="X19" s="914"/>
      <c r="Y19" s="602"/>
    </row>
    <row r="20" spans="1:25" ht="21.75" customHeight="1" thickBot="1">
      <c r="A20" s="346"/>
      <c r="B20" s="484" t="s">
        <v>50</v>
      </c>
      <c r="C20" s="1383" t="s">
        <v>298</v>
      </c>
      <c r="D20" s="1383"/>
      <c r="E20" s="799">
        <v>1060000</v>
      </c>
      <c r="F20" s="799">
        <v>1060000</v>
      </c>
      <c r="G20" s="799">
        <v>1060000</v>
      </c>
      <c r="H20" s="799">
        <v>2092682</v>
      </c>
      <c r="I20" s="800">
        <f>15000+1080285+244795+241600</f>
        <v>1581680</v>
      </c>
      <c r="J20" s="918">
        <f t="shared" si="4"/>
        <v>0.755814786957598</v>
      </c>
      <c r="K20" s="918">
        <f t="shared" si="1"/>
        <v>4.778556894931958E-07</v>
      </c>
      <c r="L20" s="752">
        <f t="shared" si="5"/>
        <v>1060000</v>
      </c>
      <c r="M20" s="752">
        <f t="shared" si="5"/>
        <v>1060000</v>
      </c>
      <c r="N20" s="752">
        <f t="shared" si="5"/>
        <v>1060000</v>
      </c>
      <c r="O20" s="794">
        <f>H20-V20</f>
        <v>2092682</v>
      </c>
      <c r="P20" s="794">
        <f>I20-W20</f>
        <v>1581680</v>
      </c>
      <c r="Q20" s="918">
        <f t="shared" si="6"/>
        <v>0.755814786957598</v>
      </c>
      <c r="R20" s="768">
        <f>K20</f>
        <v>4.778556894931958E-07</v>
      </c>
      <c r="S20" s="799">
        <v>0</v>
      </c>
      <c r="T20" s="799">
        <v>0</v>
      </c>
      <c r="U20" s="799">
        <v>0</v>
      </c>
      <c r="V20" s="799">
        <v>0</v>
      </c>
      <c r="W20" s="800">
        <v>0</v>
      </c>
      <c r="X20" s="918"/>
      <c r="Y20" s="603"/>
    </row>
    <row r="21" spans="1:26" ht="21.75" customHeight="1" thickBot="1">
      <c r="A21" s="57" t="s">
        <v>299</v>
      </c>
      <c r="B21" s="1368" t="s">
        <v>300</v>
      </c>
      <c r="C21" s="1368"/>
      <c r="D21" s="1368"/>
      <c r="E21" s="785">
        <f>E22+E23+E24+E28+E29+E30+E31</f>
        <v>41314366</v>
      </c>
      <c r="F21" s="785">
        <f>F22+F23+F24+F28+F29+F30+F31</f>
        <v>41441684</v>
      </c>
      <c r="G21" s="785">
        <f>G22+G23+G24+G28+G29+G30+G31</f>
        <v>29004964</v>
      </c>
      <c r="H21" s="785">
        <f>H22+H23+H24+H28+H29+H30+H31</f>
        <v>17351367</v>
      </c>
      <c r="I21" s="786">
        <f>I22+I23+I24+I28+I29+I30+I31</f>
        <v>17344765</v>
      </c>
      <c r="J21" s="912">
        <f t="shared" si="4"/>
        <v>0.9996195112465779</v>
      </c>
      <c r="K21" s="912">
        <f t="shared" si="1"/>
        <v>5.763234677705797E-08</v>
      </c>
      <c r="L21" s="786">
        <f aca="true" t="shared" si="7" ref="L21:R21">L22+L23+L24+L28+L29+L30+L31</f>
        <v>41314366</v>
      </c>
      <c r="M21" s="786">
        <f t="shared" si="7"/>
        <v>41441684</v>
      </c>
      <c r="N21" s="786">
        <f>N22+N23+N24+N28+N29+N30+N31</f>
        <v>29004964</v>
      </c>
      <c r="O21" s="786">
        <f t="shared" si="7"/>
        <v>16944791</v>
      </c>
      <c r="P21" s="786">
        <f>P22+P23+P24+P28+P29+P30+P31</f>
        <v>16938189</v>
      </c>
      <c r="Q21" s="912">
        <f t="shared" si="6"/>
        <v>0.9996103817391433</v>
      </c>
      <c r="R21" s="787">
        <f t="shared" si="7"/>
        <v>4.0000097331434095</v>
      </c>
      <c r="S21" s="785">
        <f>SUM(S22:S31)</f>
        <v>0</v>
      </c>
      <c r="T21" s="785">
        <f>SUM(T22:T31)</f>
        <v>0</v>
      </c>
      <c r="U21" s="785">
        <f>SUM(U22:U31)</f>
        <v>0</v>
      </c>
      <c r="V21" s="785">
        <f>SUM(V22:V31)</f>
        <v>406576</v>
      </c>
      <c r="W21" s="786">
        <f>SUM(W22:W31)</f>
        <v>406576</v>
      </c>
      <c r="X21" s="912">
        <f>+W21/V21</f>
        <v>1</v>
      </c>
      <c r="Y21" s="788">
        <f>W21/V21</f>
        <v>1</v>
      </c>
      <c r="Z21" s="249"/>
    </row>
    <row r="22" spans="1:26" ht="21.75" customHeight="1">
      <c r="A22" s="55"/>
      <c r="B22" s="56" t="s">
        <v>39</v>
      </c>
      <c r="C22" s="1372" t="s">
        <v>301</v>
      </c>
      <c r="D22" s="1372"/>
      <c r="E22" s="801">
        <v>9797120</v>
      </c>
      <c r="F22" s="801">
        <v>9797120</v>
      </c>
      <c r="G22" s="801">
        <v>9797120</v>
      </c>
      <c r="H22" s="801">
        <v>11108724</v>
      </c>
      <c r="I22" s="802">
        <f>3073912+8034812</f>
        <v>11108724</v>
      </c>
      <c r="J22" s="919">
        <f t="shared" si="4"/>
        <v>1</v>
      </c>
      <c r="K22" s="919">
        <f t="shared" si="1"/>
        <v>9.001933975495295E-08</v>
      </c>
      <c r="L22" s="752">
        <f>E22-S22</f>
        <v>9797120</v>
      </c>
      <c r="M22" s="752">
        <f>F22-T22</f>
        <v>9797120</v>
      </c>
      <c r="N22" s="752">
        <f>G22-U22</f>
        <v>9797120</v>
      </c>
      <c r="O22" s="794">
        <f>H22-V22</f>
        <v>10863461</v>
      </c>
      <c r="P22" s="794">
        <f>I22-W22</f>
        <v>10863461</v>
      </c>
      <c r="Q22" s="919">
        <f t="shared" si="6"/>
        <v>1</v>
      </c>
      <c r="R22" s="768">
        <f>K22</f>
        <v>9.001933975495295E-08</v>
      </c>
      <c r="S22" s="801">
        <v>0</v>
      </c>
      <c r="T22" s="801">
        <v>0</v>
      </c>
      <c r="U22" s="801">
        <v>0</v>
      </c>
      <c r="V22" s="801">
        <v>245263</v>
      </c>
      <c r="W22" s="802">
        <v>245263</v>
      </c>
      <c r="X22" s="919">
        <f>+W22/V22</f>
        <v>1</v>
      </c>
      <c r="Y22" s="604"/>
      <c r="Z22" s="249"/>
    </row>
    <row r="23" spans="1:25" ht="21.75" customHeight="1">
      <c r="A23" s="54"/>
      <c r="B23" s="50" t="s">
        <v>40</v>
      </c>
      <c r="C23" s="1360" t="s">
        <v>333</v>
      </c>
      <c r="D23" s="1360"/>
      <c r="E23" s="753">
        <v>5783000</v>
      </c>
      <c r="F23" s="753">
        <v>5783000</v>
      </c>
      <c r="G23" s="753">
        <v>5783000</v>
      </c>
      <c r="H23" s="753">
        <v>2704361</v>
      </c>
      <c r="I23" s="754">
        <f>1273639+1430722</f>
        <v>2704361</v>
      </c>
      <c r="J23" s="920">
        <f t="shared" si="4"/>
        <v>1</v>
      </c>
      <c r="K23" s="920">
        <f t="shared" si="1"/>
        <v>3.697731183077999E-07</v>
      </c>
      <c r="L23" s="752">
        <f>E23</f>
        <v>5783000</v>
      </c>
      <c r="M23" s="752">
        <f>F23</f>
        <v>5783000</v>
      </c>
      <c r="N23" s="752">
        <f>G23</f>
        <v>5783000</v>
      </c>
      <c r="O23" s="794">
        <f>H23-V23</f>
        <v>2643201</v>
      </c>
      <c r="P23" s="794">
        <f>I23-W23</f>
        <v>2643201</v>
      </c>
      <c r="Q23" s="920">
        <f t="shared" si="6"/>
        <v>1</v>
      </c>
      <c r="R23" s="768">
        <f>K23</f>
        <v>3.697731183077999E-07</v>
      </c>
      <c r="S23" s="753">
        <v>0</v>
      </c>
      <c r="T23" s="753">
        <v>0</v>
      </c>
      <c r="U23" s="753">
        <v>0</v>
      </c>
      <c r="V23" s="753">
        <v>61160</v>
      </c>
      <c r="W23" s="754">
        <v>61160</v>
      </c>
      <c r="X23" s="920">
        <f>+W23/V23</f>
        <v>1</v>
      </c>
      <c r="Y23" s="589"/>
    </row>
    <row r="24" spans="1:25" ht="21.75" customHeight="1">
      <c r="A24" s="54"/>
      <c r="B24" s="50" t="s">
        <v>41</v>
      </c>
      <c r="C24" s="1360" t="s">
        <v>303</v>
      </c>
      <c r="D24" s="1360"/>
      <c r="E24" s="287">
        <f>SUM(E25:E27)</f>
        <v>1579466</v>
      </c>
      <c r="F24" s="287">
        <f>SUM(F25:F27)</f>
        <v>1579466</v>
      </c>
      <c r="G24" s="287">
        <f>SUM(G25:G27)</f>
        <v>1579466</v>
      </c>
      <c r="H24" s="287">
        <f>SUM(H25:H27)</f>
        <v>722399</v>
      </c>
      <c r="I24" s="226">
        <f>SUM(I25:I27)</f>
        <v>722399</v>
      </c>
      <c r="J24" s="921">
        <f t="shared" si="4"/>
        <v>1</v>
      </c>
      <c r="K24" s="921">
        <f t="shared" si="1"/>
        <v>1.3842765563075254E-06</v>
      </c>
      <c r="L24" s="226">
        <f aca="true" t="shared" si="8" ref="L24:R24">SUM(L25:L27)</f>
        <v>1579466</v>
      </c>
      <c r="M24" s="226">
        <f t="shared" si="8"/>
        <v>1579466</v>
      </c>
      <c r="N24" s="226">
        <f>SUM(N25:N27)</f>
        <v>1579466</v>
      </c>
      <c r="O24" s="226">
        <f t="shared" si="8"/>
        <v>722399</v>
      </c>
      <c r="P24" s="226">
        <f>SUM(P25:P27)</f>
        <v>722399</v>
      </c>
      <c r="Q24" s="921">
        <f t="shared" si="6"/>
        <v>1</v>
      </c>
      <c r="R24" s="769">
        <f t="shared" si="8"/>
        <v>2.000005573427277</v>
      </c>
      <c r="S24" s="287">
        <v>0</v>
      </c>
      <c r="T24" s="287">
        <v>0</v>
      </c>
      <c r="U24" s="287">
        <v>0</v>
      </c>
      <c r="V24" s="287">
        <v>0</v>
      </c>
      <c r="W24" s="226">
        <v>0</v>
      </c>
      <c r="X24" s="921"/>
      <c r="Y24" s="589" t="e">
        <f>W24/V24</f>
        <v>#DIV/0!</v>
      </c>
    </row>
    <row r="25" spans="1:25" ht="21.75" customHeight="1">
      <c r="A25" s="54"/>
      <c r="B25" s="50"/>
      <c r="C25" s="50" t="s">
        <v>96</v>
      </c>
      <c r="D25" s="188" t="s">
        <v>304</v>
      </c>
      <c r="E25" s="753">
        <f>371992+711720</f>
        <v>1083712</v>
      </c>
      <c r="F25" s="753">
        <f>371992+711720</f>
        <v>1083712</v>
      </c>
      <c r="G25" s="753">
        <f>371992+711720</f>
        <v>1083712</v>
      </c>
      <c r="H25" s="753">
        <f>722399-390358</f>
        <v>332041</v>
      </c>
      <c r="I25" s="754">
        <v>527220</v>
      </c>
      <c r="J25" s="920">
        <f t="shared" si="4"/>
        <v>1.5878159624865604</v>
      </c>
      <c r="K25" s="920">
        <f t="shared" si="1"/>
        <v>3.011676268894504E-06</v>
      </c>
      <c r="L25" s="752">
        <f aca="true" t="shared" si="9" ref="L25:N27">E25</f>
        <v>1083712</v>
      </c>
      <c r="M25" s="752">
        <f t="shared" si="9"/>
        <v>1083712</v>
      </c>
      <c r="N25" s="752">
        <f t="shared" si="9"/>
        <v>1083712</v>
      </c>
      <c r="O25" s="794">
        <f>H25-V25</f>
        <v>332041</v>
      </c>
      <c r="P25" s="794">
        <f>I25-W25</f>
        <v>527220</v>
      </c>
      <c r="Q25" s="920">
        <f t="shared" si="6"/>
        <v>1.5878159624865604</v>
      </c>
      <c r="R25" s="768">
        <f>K25</f>
        <v>3.011676268894504E-06</v>
      </c>
      <c r="S25" s="753">
        <v>0</v>
      </c>
      <c r="T25" s="753">
        <v>0</v>
      </c>
      <c r="U25" s="753">
        <v>0</v>
      </c>
      <c r="V25" s="753">
        <v>0</v>
      </c>
      <c r="W25" s="754">
        <v>0</v>
      </c>
      <c r="X25" s="920"/>
      <c r="Y25" s="589" t="e">
        <f>W25/V25</f>
        <v>#DIV/0!</v>
      </c>
    </row>
    <row r="26" spans="1:25" ht="41.25" customHeight="1">
      <c r="A26" s="54"/>
      <c r="B26" s="50"/>
      <c r="C26" s="50" t="s">
        <v>97</v>
      </c>
      <c r="D26" s="188" t="s">
        <v>305</v>
      </c>
      <c r="E26" s="753">
        <v>495754</v>
      </c>
      <c r="F26" s="753">
        <v>495754</v>
      </c>
      <c r="G26" s="753">
        <v>495754</v>
      </c>
      <c r="H26" s="753">
        <f>195179*2</f>
        <v>390358</v>
      </c>
      <c r="I26" s="754">
        <v>195179</v>
      </c>
      <c r="J26" s="920">
        <f t="shared" si="4"/>
        <v>0.5</v>
      </c>
      <c r="K26" s="920">
        <f t="shared" si="1"/>
        <v>2.5617510080490215E-06</v>
      </c>
      <c r="L26" s="752">
        <f t="shared" si="9"/>
        <v>495754</v>
      </c>
      <c r="M26" s="752">
        <f t="shared" si="9"/>
        <v>495754</v>
      </c>
      <c r="N26" s="752">
        <f t="shared" si="9"/>
        <v>495754</v>
      </c>
      <c r="O26" s="794">
        <f>H26-V26</f>
        <v>390358</v>
      </c>
      <c r="P26" s="794">
        <f>I26-W26</f>
        <v>195179</v>
      </c>
      <c r="Q26" s="920">
        <f t="shared" si="6"/>
        <v>0.5</v>
      </c>
      <c r="R26" s="768">
        <f>K26</f>
        <v>2.5617510080490215E-06</v>
      </c>
      <c r="S26" s="753">
        <v>0</v>
      </c>
      <c r="T26" s="753">
        <v>0</v>
      </c>
      <c r="U26" s="753">
        <v>0</v>
      </c>
      <c r="V26" s="753">
        <v>0</v>
      </c>
      <c r="W26" s="754">
        <v>0</v>
      </c>
      <c r="X26" s="920"/>
      <c r="Y26" s="589"/>
    </row>
    <row r="27" spans="1:25" ht="21.75" customHeight="1">
      <c r="A27" s="54"/>
      <c r="B27" s="50"/>
      <c r="C27" s="50" t="s">
        <v>98</v>
      </c>
      <c r="D27" s="188" t="s">
        <v>479</v>
      </c>
      <c r="E27" s="753"/>
      <c r="F27" s="753"/>
      <c r="G27" s="753"/>
      <c r="H27" s="753"/>
      <c r="I27" s="754"/>
      <c r="J27" s="920"/>
      <c r="K27" s="920"/>
      <c r="L27" s="752">
        <f t="shared" si="9"/>
        <v>0</v>
      </c>
      <c r="M27" s="752">
        <f t="shared" si="9"/>
        <v>0</v>
      </c>
      <c r="N27" s="752">
        <f t="shared" si="9"/>
        <v>0</v>
      </c>
      <c r="O27" s="754"/>
      <c r="P27" s="754"/>
      <c r="Q27" s="920"/>
      <c r="R27" s="770">
        <v>2</v>
      </c>
      <c r="S27" s="753">
        <v>0</v>
      </c>
      <c r="T27" s="753">
        <v>0</v>
      </c>
      <c r="U27" s="753">
        <v>0</v>
      </c>
      <c r="V27" s="753">
        <v>0</v>
      </c>
      <c r="W27" s="754">
        <v>0</v>
      </c>
      <c r="X27" s="920"/>
      <c r="Y27" s="589"/>
    </row>
    <row r="28" spans="1:25" ht="21.75" customHeight="1">
      <c r="A28" s="54"/>
      <c r="B28" s="50" t="s">
        <v>271</v>
      </c>
      <c r="C28" s="1360" t="s">
        <v>306</v>
      </c>
      <c r="D28" s="1360"/>
      <c r="E28" s="753">
        <v>1642410</v>
      </c>
      <c r="F28" s="753">
        <v>1642410</v>
      </c>
      <c r="G28" s="753">
        <v>1642410</v>
      </c>
      <c r="H28" s="753">
        <v>800630</v>
      </c>
      <c r="I28" s="754">
        <v>800630</v>
      </c>
      <c r="J28" s="920">
        <f aca="true" t="shared" si="10" ref="J28:J35">+I28/H28</f>
        <v>1</v>
      </c>
      <c r="K28" s="920">
        <f t="shared" si="1"/>
        <v>1.2490163995853266E-06</v>
      </c>
      <c r="L28" s="752">
        <f aca="true" t="shared" si="11" ref="L28:P29">E28-S28</f>
        <v>1642410</v>
      </c>
      <c r="M28" s="752">
        <f t="shared" si="11"/>
        <v>1642410</v>
      </c>
      <c r="N28" s="752">
        <f t="shared" si="11"/>
        <v>1642410</v>
      </c>
      <c r="O28" s="794">
        <f t="shared" si="11"/>
        <v>717897</v>
      </c>
      <c r="P28" s="794">
        <f t="shared" si="11"/>
        <v>717897</v>
      </c>
      <c r="Q28" s="920">
        <f aca="true" t="shared" si="12" ref="Q28:Q35">+P28/O28</f>
        <v>1</v>
      </c>
      <c r="R28" s="768">
        <f>K28</f>
        <v>1.2490163995853266E-06</v>
      </c>
      <c r="S28" s="753">
        <v>0</v>
      </c>
      <c r="T28" s="753">
        <v>0</v>
      </c>
      <c r="U28" s="753">
        <v>0</v>
      </c>
      <c r="V28" s="753">
        <v>82733</v>
      </c>
      <c r="W28" s="754">
        <v>82733</v>
      </c>
      <c r="X28" s="920">
        <f>+W28/V28</f>
        <v>1</v>
      </c>
      <c r="Y28" s="589"/>
    </row>
    <row r="29" spans="1:25" ht="21.75" customHeight="1">
      <c r="A29" s="58"/>
      <c r="B29" s="59" t="s">
        <v>307</v>
      </c>
      <c r="C29" s="1360" t="s">
        <v>515</v>
      </c>
      <c r="D29" s="1360"/>
      <c r="E29" s="753"/>
      <c r="F29" s="753"/>
      <c r="G29" s="753"/>
      <c r="H29" s="753">
        <v>254960</v>
      </c>
      <c r="I29" s="754">
        <v>254960</v>
      </c>
      <c r="J29" s="920">
        <f t="shared" si="10"/>
        <v>1</v>
      </c>
      <c r="K29" s="920">
        <f t="shared" si="1"/>
        <v>3.922183871979919E-06</v>
      </c>
      <c r="L29" s="752">
        <f t="shared" si="11"/>
        <v>0</v>
      </c>
      <c r="M29" s="752">
        <f t="shared" si="11"/>
        <v>0</v>
      </c>
      <c r="N29" s="752">
        <f t="shared" si="11"/>
        <v>0</v>
      </c>
      <c r="O29" s="794">
        <f t="shared" si="11"/>
        <v>254960</v>
      </c>
      <c r="P29" s="794">
        <f t="shared" si="11"/>
        <v>254960</v>
      </c>
      <c r="Q29" s="920">
        <f t="shared" si="12"/>
        <v>1</v>
      </c>
      <c r="R29" s="770">
        <v>2</v>
      </c>
      <c r="S29" s="753">
        <v>0</v>
      </c>
      <c r="T29" s="753">
        <v>0</v>
      </c>
      <c r="U29" s="753">
        <v>0</v>
      </c>
      <c r="V29" s="753">
        <v>0</v>
      </c>
      <c r="W29" s="754">
        <v>0</v>
      </c>
      <c r="X29" s="920"/>
      <c r="Y29" s="589"/>
    </row>
    <row r="30" spans="1:25" ht="21.75" customHeight="1">
      <c r="A30" s="58"/>
      <c r="B30" s="59" t="s">
        <v>309</v>
      </c>
      <c r="C30" s="1360" t="s">
        <v>310</v>
      </c>
      <c r="D30" s="1360"/>
      <c r="E30" s="753">
        <v>621861</v>
      </c>
      <c r="F30" s="753">
        <v>621861</v>
      </c>
      <c r="G30" s="753">
        <v>621861</v>
      </c>
      <c r="H30" s="753">
        <v>642582</v>
      </c>
      <c r="I30" s="754">
        <v>635980</v>
      </c>
      <c r="J30" s="920">
        <f t="shared" si="10"/>
        <v>0.9897258248752688</v>
      </c>
      <c r="K30" s="920">
        <f t="shared" si="1"/>
        <v>1.5562216184082342E-06</v>
      </c>
      <c r="L30" s="752">
        <f aca="true" t="shared" si="13" ref="L30:N31">E30</f>
        <v>621861</v>
      </c>
      <c r="M30" s="752">
        <f t="shared" si="13"/>
        <v>621861</v>
      </c>
      <c r="N30" s="752">
        <f t="shared" si="13"/>
        <v>621861</v>
      </c>
      <c r="O30" s="794">
        <f>H30-V30</f>
        <v>625162</v>
      </c>
      <c r="P30" s="794">
        <f>I30-W30</f>
        <v>618560</v>
      </c>
      <c r="Q30" s="920">
        <f t="shared" si="12"/>
        <v>0.9894395372719391</v>
      </c>
      <c r="R30" s="768">
        <f>K30</f>
        <v>1.5562216184082342E-06</v>
      </c>
      <c r="S30" s="753">
        <v>0</v>
      </c>
      <c r="T30" s="753">
        <v>0</v>
      </c>
      <c r="U30" s="753">
        <v>0</v>
      </c>
      <c r="V30" s="753">
        <v>17420</v>
      </c>
      <c r="W30" s="754">
        <v>17420</v>
      </c>
      <c r="X30" s="920">
        <f>+W30/V30</f>
        <v>1</v>
      </c>
      <c r="Y30" s="589"/>
    </row>
    <row r="31" spans="1:25" ht="21.75" customHeight="1" thickBot="1">
      <c r="A31" s="58"/>
      <c r="B31" s="59" t="s">
        <v>69</v>
      </c>
      <c r="C31" s="1373" t="s">
        <v>70</v>
      </c>
      <c r="D31" s="1373"/>
      <c r="E31" s="753">
        <v>21890509</v>
      </c>
      <c r="F31" s="753">
        <v>22017827</v>
      </c>
      <c r="G31" s="753">
        <v>9581107</v>
      </c>
      <c r="H31" s="753">
        <v>1117711</v>
      </c>
      <c r="I31" s="754">
        <f>527256+590455</f>
        <v>1117711</v>
      </c>
      <c r="J31" s="920">
        <f t="shared" si="10"/>
        <v>1</v>
      </c>
      <c r="K31" s="920">
        <f t="shared" si="1"/>
        <v>8.946856566679579E-07</v>
      </c>
      <c r="L31" s="752">
        <f t="shared" si="13"/>
        <v>21890509</v>
      </c>
      <c r="M31" s="752">
        <f t="shared" si="13"/>
        <v>22017827</v>
      </c>
      <c r="N31" s="752">
        <f t="shared" si="13"/>
        <v>9581107</v>
      </c>
      <c r="O31" s="794">
        <f>H31-V31</f>
        <v>1117711</v>
      </c>
      <c r="P31" s="794">
        <f>I31-W31</f>
        <v>1117711</v>
      </c>
      <c r="Q31" s="920">
        <f t="shared" si="12"/>
        <v>1</v>
      </c>
      <c r="R31" s="768">
        <f>K31</f>
        <v>8.946856566679579E-07</v>
      </c>
      <c r="S31" s="753">
        <v>0</v>
      </c>
      <c r="T31" s="753">
        <v>0</v>
      </c>
      <c r="U31" s="753">
        <v>0</v>
      </c>
      <c r="V31" s="753">
        <v>0</v>
      </c>
      <c r="W31" s="754">
        <v>0</v>
      </c>
      <c r="X31" s="920"/>
      <c r="Y31" s="589"/>
    </row>
    <row r="32" spans="1:25" ht="21.75" customHeight="1" thickBot="1">
      <c r="A32" s="61" t="s">
        <v>10</v>
      </c>
      <c r="B32" s="1368" t="s">
        <v>311</v>
      </c>
      <c r="C32" s="1368"/>
      <c r="D32" s="1368"/>
      <c r="E32" s="279">
        <f>SUM(E33:E37)</f>
        <v>365623014</v>
      </c>
      <c r="F32" s="279">
        <f>SUM(F33:F37)</f>
        <v>368800612</v>
      </c>
      <c r="G32" s="279">
        <f>SUM(G33:G37)</f>
        <v>386274490</v>
      </c>
      <c r="H32" s="279">
        <f>SUM(H33:H37)</f>
        <v>396629327</v>
      </c>
      <c r="I32" s="64">
        <f>SUM(I33:I37)</f>
        <v>347563886</v>
      </c>
      <c r="J32" s="922">
        <f t="shared" si="10"/>
        <v>0.876293966028387</v>
      </c>
      <c r="K32" s="922">
        <f t="shared" si="1"/>
        <v>2.5212457373329834E-09</v>
      </c>
      <c r="L32" s="64">
        <f aca="true" t="shared" si="14" ref="L32:T32">SUM(L33:L37)</f>
        <v>279163693</v>
      </c>
      <c r="M32" s="64">
        <f t="shared" si="14"/>
        <v>282341291</v>
      </c>
      <c r="N32" s="64">
        <f>SUM(N33:N37)</f>
        <v>299815169</v>
      </c>
      <c r="O32" s="64">
        <f t="shared" si="14"/>
        <v>310063326</v>
      </c>
      <c r="P32" s="64">
        <f>SUM(P33:P37)</f>
        <v>310063326</v>
      </c>
      <c r="Q32" s="922">
        <f t="shared" si="12"/>
        <v>1</v>
      </c>
      <c r="R32" s="652">
        <f t="shared" si="14"/>
        <v>2.0000003184660886</v>
      </c>
      <c r="S32" s="64">
        <f t="shared" si="14"/>
        <v>86459321</v>
      </c>
      <c r="T32" s="64">
        <f t="shared" si="14"/>
        <v>86459321</v>
      </c>
      <c r="U32" s="64">
        <f>SUM(U33:U37)</f>
        <v>86459321</v>
      </c>
      <c r="V32" s="64">
        <f>SUM(V33:V37)</f>
        <v>86566001</v>
      </c>
      <c r="W32" s="64">
        <f>SUM(W33:W37)</f>
        <v>37500560</v>
      </c>
      <c r="X32" s="922">
        <f>+W32/V32</f>
        <v>0.4332019449529614</v>
      </c>
      <c r="Y32" s="605"/>
    </row>
    <row r="33" spans="1:27" ht="21.75" customHeight="1">
      <c r="A33" s="55"/>
      <c r="B33" s="59" t="s">
        <v>42</v>
      </c>
      <c r="C33" s="1361" t="s">
        <v>312</v>
      </c>
      <c r="D33" s="1361"/>
      <c r="E33" s="757">
        <f>76743202+43805733+136115540+3216180</f>
        <v>259880655</v>
      </c>
      <c r="F33" s="757">
        <f>77068698+39039768+5501133+16296080+119819460+3216180+162208</f>
        <v>261103527</v>
      </c>
      <c r="G33" s="757">
        <f>77068698+40070868+5746233+16296080-2785440+122812460+1804170+11608465+3331730+547773</f>
        <v>276501037</v>
      </c>
      <c r="H33" s="757">
        <f>77068698+38745168+5419433+16296080-2507940+121300420+1310997+16953064+3331730+781626</f>
        <v>278699276</v>
      </c>
      <c r="I33" s="757">
        <f>77068698+38745168+5419433+16296080-2507940+121300420+1310997+16953064+3331730+781626</f>
        <v>278699276</v>
      </c>
      <c r="J33" s="923">
        <f t="shared" si="10"/>
        <v>1</v>
      </c>
      <c r="K33" s="923">
        <f t="shared" si="1"/>
        <v>3.588096870405935E-09</v>
      </c>
      <c r="L33" s="752">
        <f aca="true" t="shared" si="15" ref="L33:N34">E33</f>
        <v>259880655</v>
      </c>
      <c r="M33" s="752">
        <f t="shared" si="15"/>
        <v>261103527</v>
      </c>
      <c r="N33" s="752">
        <f t="shared" si="15"/>
        <v>276501037</v>
      </c>
      <c r="O33" s="794">
        <f aca="true" t="shared" si="16" ref="O33:P35">H33-V33</f>
        <v>278699276</v>
      </c>
      <c r="P33" s="794">
        <f t="shared" si="16"/>
        <v>278699276</v>
      </c>
      <c r="Q33" s="923">
        <f t="shared" si="12"/>
        <v>1</v>
      </c>
      <c r="R33" s="768">
        <f>K33</f>
        <v>3.588096870405935E-09</v>
      </c>
      <c r="S33" s="757">
        <v>0</v>
      </c>
      <c r="T33" s="757">
        <v>0</v>
      </c>
      <c r="U33" s="757">
        <v>0</v>
      </c>
      <c r="V33" s="757">
        <v>0</v>
      </c>
      <c r="W33" s="758">
        <v>0</v>
      </c>
      <c r="X33" s="923"/>
      <c r="Y33" s="736"/>
      <c r="AA33" s="249"/>
    </row>
    <row r="34" spans="1:25" ht="21.75" customHeight="1">
      <c r="A34" s="54"/>
      <c r="B34" s="59" t="s">
        <v>43</v>
      </c>
      <c r="C34" s="1360" t="s">
        <v>475</v>
      </c>
      <c r="D34" s="1360"/>
      <c r="E34" s="753">
        <v>805600</v>
      </c>
      <c r="F34" s="753">
        <v>2744006</v>
      </c>
      <c r="G34" s="753">
        <v>3185556</v>
      </c>
      <c r="H34" s="753">
        <v>7993771</v>
      </c>
      <c r="I34" s="753">
        <v>7993771</v>
      </c>
      <c r="J34" s="924">
        <f t="shared" si="10"/>
        <v>1</v>
      </c>
      <c r="K34" s="924">
        <f t="shared" si="1"/>
        <v>1.2509740396616316E-07</v>
      </c>
      <c r="L34" s="752">
        <f t="shared" si="15"/>
        <v>805600</v>
      </c>
      <c r="M34" s="752">
        <f t="shared" si="15"/>
        <v>2744006</v>
      </c>
      <c r="N34" s="752">
        <f t="shared" si="15"/>
        <v>3185556</v>
      </c>
      <c r="O34" s="794">
        <f t="shared" si="16"/>
        <v>7993771</v>
      </c>
      <c r="P34" s="794">
        <f t="shared" si="16"/>
        <v>7993771</v>
      </c>
      <c r="Q34" s="924">
        <f t="shared" si="12"/>
        <v>1</v>
      </c>
      <c r="R34" s="768">
        <f>K34</f>
        <v>1.2509740396616316E-07</v>
      </c>
      <c r="S34" s="753">
        <v>0</v>
      </c>
      <c r="T34" s="753">
        <v>0</v>
      </c>
      <c r="U34" s="753">
        <v>0</v>
      </c>
      <c r="V34" s="753">
        <v>0</v>
      </c>
      <c r="W34" s="754">
        <v>0</v>
      </c>
      <c r="X34" s="924"/>
      <c r="Y34" s="589"/>
    </row>
    <row r="35" spans="1:25" ht="21.75" customHeight="1">
      <c r="A35" s="54"/>
      <c r="B35" s="59" t="s">
        <v>67</v>
      </c>
      <c r="C35" s="1360" t="s">
        <v>631</v>
      </c>
      <c r="D35" s="1360"/>
      <c r="E35" s="753">
        <v>0</v>
      </c>
      <c r="F35" s="753">
        <v>16320</v>
      </c>
      <c r="G35" s="753">
        <v>1500138</v>
      </c>
      <c r="H35" s="753">
        <v>1500138</v>
      </c>
      <c r="I35" s="753">
        <v>1500138</v>
      </c>
      <c r="J35" s="924">
        <f t="shared" si="10"/>
        <v>1</v>
      </c>
      <c r="K35" s="924">
        <f t="shared" si="1"/>
        <v>6.666053389754809E-07</v>
      </c>
      <c r="L35" s="754">
        <v>0</v>
      </c>
      <c r="M35" s="752">
        <f>F35</f>
        <v>16320</v>
      </c>
      <c r="N35" s="752">
        <f>G35</f>
        <v>1500138</v>
      </c>
      <c r="O35" s="794">
        <f t="shared" si="16"/>
        <v>1500138</v>
      </c>
      <c r="P35" s="794">
        <f t="shared" si="16"/>
        <v>1500138</v>
      </c>
      <c r="Q35" s="924">
        <f t="shared" si="12"/>
        <v>1</v>
      </c>
      <c r="R35" s="770">
        <v>0</v>
      </c>
      <c r="S35" s="753">
        <v>0</v>
      </c>
      <c r="T35" s="753">
        <v>0</v>
      </c>
      <c r="U35" s="753">
        <v>0</v>
      </c>
      <c r="V35" s="753">
        <v>0</v>
      </c>
      <c r="W35" s="754">
        <v>0</v>
      </c>
      <c r="X35" s="924"/>
      <c r="Y35" s="589"/>
    </row>
    <row r="36" spans="1:25" ht="21.75" customHeight="1">
      <c r="A36" s="54"/>
      <c r="B36" s="59" t="s">
        <v>68</v>
      </c>
      <c r="C36" s="1360" t="s">
        <v>354</v>
      </c>
      <c r="D36" s="1360"/>
      <c r="E36" s="753">
        <v>0</v>
      </c>
      <c r="F36" s="753">
        <v>0</v>
      </c>
      <c r="G36" s="753">
        <v>0</v>
      </c>
      <c r="H36" s="753">
        <v>0</v>
      </c>
      <c r="I36" s="754">
        <v>0</v>
      </c>
      <c r="J36" s="920"/>
      <c r="K36" s="920"/>
      <c r="L36" s="754">
        <v>0</v>
      </c>
      <c r="M36" s="754">
        <v>0</v>
      </c>
      <c r="N36" s="754">
        <v>0</v>
      </c>
      <c r="O36" s="754">
        <v>0</v>
      </c>
      <c r="P36" s="754">
        <v>0</v>
      </c>
      <c r="Q36" s="920"/>
      <c r="R36" s="770">
        <v>0</v>
      </c>
      <c r="S36" s="753">
        <v>0</v>
      </c>
      <c r="T36" s="753">
        <v>0</v>
      </c>
      <c r="U36" s="753">
        <v>0</v>
      </c>
      <c r="V36" s="753">
        <v>0</v>
      </c>
      <c r="W36" s="754">
        <v>0</v>
      </c>
      <c r="X36" s="920"/>
      <c r="Y36" s="589"/>
    </row>
    <row r="37" spans="1:25" ht="21.75" customHeight="1">
      <c r="A37" s="54"/>
      <c r="B37" s="59" t="s">
        <v>350</v>
      </c>
      <c r="C37" s="1360" t="s">
        <v>313</v>
      </c>
      <c r="D37" s="1360"/>
      <c r="E37" s="287">
        <f>SUM(E38:E40)</f>
        <v>104936759</v>
      </c>
      <c r="F37" s="287">
        <f>SUM(F38:F40)</f>
        <v>104936759</v>
      </c>
      <c r="G37" s="287">
        <f>SUM(G38:G40)</f>
        <v>105087759</v>
      </c>
      <c r="H37" s="287">
        <f>SUM(H38:H40)</f>
        <v>108436142</v>
      </c>
      <c r="I37" s="226">
        <f>SUM(I38:I40)</f>
        <v>59370701</v>
      </c>
      <c r="J37" s="921">
        <f aca="true" t="shared" si="17" ref="J37:J42">+I37/H37</f>
        <v>0.5475176440711068</v>
      </c>
      <c r="K37" s="921">
        <f t="shared" si="1"/>
        <v>9.22201750777891E-09</v>
      </c>
      <c r="L37" s="226">
        <f aca="true" t="shared" si="18" ref="L37:U37">SUM(L38:L40)</f>
        <v>18477438</v>
      </c>
      <c r="M37" s="226">
        <f t="shared" si="18"/>
        <v>18477438</v>
      </c>
      <c r="N37" s="226">
        <f t="shared" si="18"/>
        <v>18628438</v>
      </c>
      <c r="O37" s="226">
        <f t="shared" si="18"/>
        <v>21870141</v>
      </c>
      <c r="P37" s="226">
        <f>SUM(P38:P40)</f>
        <v>21870141</v>
      </c>
      <c r="Q37" s="921">
        <f aca="true" t="shared" si="19" ref="Q37:Q42">+P37/O37</f>
        <v>1</v>
      </c>
      <c r="R37" s="769">
        <f t="shared" si="18"/>
        <v>2.0000001897805877</v>
      </c>
      <c r="S37" s="226">
        <f t="shared" si="18"/>
        <v>86459321</v>
      </c>
      <c r="T37" s="226">
        <f t="shared" si="18"/>
        <v>86459321</v>
      </c>
      <c r="U37" s="226">
        <f t="shared" si="18"/>
        <v>86459321</v>
      </c>
      <c r="V37" s="226">
        <f>SUM(V38:V40)</f>
        <v>86566001</v>
      </c>
      <c r="W37" s="226">
        <f>SUM(W38:W40)</f>
        <v>37500560</v>
      </c>
      <c r="X37" s="921">
        <f>+W37/V37</f>
        <v>0.4332019449529614</v>
      </c>
      <c r="Y37" s="589"/>
    </row>
    <row r="38" spans="1:25" ht="21.75" customHeight="1">
      <c r="A38" s="54"/>
      <c r="B38" s="59"/>
      <c r="C38" s="56" t="s">
        <v>351</v>
      </c>
      <c r="D38" s="485" t="s">
        <v>33</v>
      </c>
      <c r="E38" s="753">
        <v>8212128</v>
      </c>
      <c r="F38" s="753">
        <v>8212128</v>
      </c>
      <c r="G38" s="753">
        <v>8212128</v>
      </c>
      <c r="H38" s="753">
        <f>8212128+640472</f>
        <v>8852600</v>
      </c>
      <c r="I38" s="754">
        <v>8852600</v>
      </c>
      <c r="J38" s="920">
        <f t="shared" si="17"/>
        <v>1</v>
      </c>
      <c r="K38" s="920">
        <f t="shared" si="1"/>
        <v>1.1296116395183335E-07</v>
      </c>
      <c r="L38" s="752">
        <f>E38</f>
        <v>8212128</v>
      </c>
      <c r="M38" s="752">
        <f>F38</f>
        <v>8212128</v>
      </c>
      <c r="N38" s="752">
        <f>G38</f>
        <v>8212128</v>
      </c>
      <c r="O38" s="794">
        <f>H38-V38</f>
        <v>8852600</v>
      </c>
      <c r="P38" s="794">
        <f>I38-W38</f>
        <v>8852600</v>
      </c>
      <c r="Q38" s="920">
        <f t="shared" si="19"/>
        <v>1</v>
      </c>
      <c r="R38" s="768">
        <f>K38</f>
        <v>1.1296116395183335E-07</v>
      </c>
      <c r="S38" s="753">
        <v>0</v>
      </c>
      <c r="T38" s="753">
        <v>0</v>
      </c>
      <c r="U38" s="753">
        <v>0</v>
      </c>
      <c r="V38" s="753">
        <v>0</v>
      </c>
      <c r="W38" s="754">
        <v>0</v>
      </c>
      <c r="X38" s="920"/>
      <c r="Y38" s="589"/>
    </row>
    <row r="39" spans="1:28" ht="21.75" customHeight="1">
      <c r="A39" s="54"/>
      <c r="B39" s="59"/>
      <c r="C39" s="50" t="s">
        <v>352</v>
      </c>
      <c r="D39" s="188" t="s">
        <v>32</v>
      </c>
      <c r="E39" s="753">
        <v>86459321</v>
      </c>
      <c r="F39" s="753">
        <v>86459321</v>
      </c>
      <c r="G39" s="753">
        <v>86459321</v>
      </c>
      <c r="H39" s="753">
        <f>86459321+106680</f>
        <v>86566001</v>
      </c>
      <c r="I39" s="754">
        <v>37500560</v>
      </c>
      <c r="J39" s="920">
        <f t="shared" si="17"/>
        <v>0.4332019449529614</v>
      </c>
      <c r="K39" s="920">
        <f t="shared" si="1"/>
        <v>1.1551879357347233E-08</v>
      </c>
      <c r="L39" s="752">
        <f>E39-S39</f>
        <v>0</v>
      </c>
      <c r="M39" s="752">
        <f>F39-T39</f>
        <v>0</v>
      </c>
      <c r="N39" s="752">
        <f>G39-U39</f>
        <v>0</v>
      </c>
      <c r="O39" s="754"/>
      <c r="P39" s="754"/>
      <c r="Q39" s="920"/>
      <c r="R39" s="770">
        <v>2</v>
      </c>
      <c r="S39" s="753">
        <v>86459321</v>
      </c>
      <c r="T39" s="753">
        <v>86459321</v>
      </c>
      <c r="U39" s="753">
        <v>86459321</v>
      </c>
      <c r="V39" s="754">
        <v>86566001</v>
      </c>
      <c r="W39" s="754">
        <v>37500560</v>
      </c>
      <c r="X39" s="920">
        <f>+W39/V39</f>
        <v>0.4332019449529614</v>
      </c>
      <c r="Y39" s="589"/>
      <c r="AB39" s="754"/>
    </row>
    <row r="40" spans="1:25" ht="21.75" customHeight="1" thickBot="1">
      <c r="A40" s="54"/>
      <c r="B40" s="59"/>
      <c r="C40" s="50" t="s">
        <v>353</v>
      </c>
      <c r="D40" s="188" t="s">
        <v>34</v>
      </c>
      <c r="E40" s="755">
        <v>10265310</v>
      </c>
      <c r="F40" s="755">
        <v>10265310</v>
      </c>
      <c r="G40" s="755">
        <f>10265310+151000</f>
        <v>10416310</v>
      </c>
      <c r="H40" s="755">
        <f>10265310+151000+2438231+163000</f>
        <v>13017541</v>
      </c>
      <c r="I40" s="756">
        <f>314000+7158276+633350+4911915</f>
        <v>13017541</v>
      </c>
      <c r="J40" s="925">
        <f t="shared" si="17"/>
        <v>1</v>
      </c>
      <c r="K40" s="925">
        <f t="shared" si="1"/>
        <v>7.681942388351225E-08</v>
      </c>
      <c r="L40" s="752">
        <f>E40</f>
        <v>10265310</v>
      </c>
      <c r="M40" s="752">
        <f>F40</f>
        <v>10265310</v>
      </c>
      <c r="N40" s="752">
        <f>G40</f>
        <v>10416310</v>
      </c>
      <c r="O40" s="794">
        <f>H40-V40</f>
        <v>13017541</v>
      </c>
      <c r="P40" s="794">
        <f>I40-W40</f>
        <v>13017541</v>
      </c>
      <c r="Q40" s="925">
        <f t="shared" si="19"/>
        <v>1</v>
      </c>
      <c r="R40" s="768">
        <f>K40</f>
        <v>7.681942388351225E-08</v>
      </c>
      <c r="S40" s="755">
        <v>0</v>
      </c>
      <c r="T40" s="755">
        <v>0</v>
      </c>
      <c r="U40" s="755">
        <v>0</v>
      </c>
      <c r="V40" s="755">
        <v>0</v>
      </c>
      <c r="W40" s="756">
        <v>0</v>
      </c>
      <c r="X40" s="925"/>
      <c r="Y40" s="590"/>
    </row>
    <row r="41" spans="1:25" ht="21.75" customHeight="1" thickBot="1">
      <c r="A41" s="61" t="s">
        <v>11</v>
      </c>
      <c r="B41" s="1368" t="s">
        <v>314</v>
      </c>
      <c r="C41" s="1368"/>
      <c r="D41" s="1368"/>
      <c r="E41" s="279">
        <f>SUM(E42:E43)</f>
        <v>23488680</v>
      </c>
      <c r="F41" s="279">
        <f>SUM(F42:F43)</f>
        <v>23488680</v>
      </c>
      <c r="G41" s="279">
        <f>SUM(G42:G43)</f>
        <v>23488680</v>
      </c>
      <c r="H41" s="279">
        <f>SUM(H42:H43)</f>
        <v>23382000</v>
      </c>
      <c r="I41" s="64">
        <f>I42+I43+I47</f>
        <v>23382000</v>
      </c>
      <c r="J41" s="922">
        <f t="shared" si="17"/>
        <v>1</v>
      </c>
      <c r="K41" s="922">
        <f t="shared" si="1"/>
        <v>4.2767941151312974E-08</v>
      </c>
      <c r="L41" s="64">
        <f>L42+L43+L47</f>
        <v>15000000</v>
      </c>
      <c r="M41" s="64">
        <f>M42+M43+M47</f>
        <v>15000000</v>
      </c>
      <c r="N41" s="64">
        <f>N42+N43+N47</f>
        <v>15000000</v>
      </c>
      <c r="O41" s="64">
        <f>SUM(O42:O43)</f>
        <v>15000000</v>
      </c>
      <c r="P41" s="64">
        <f>SUM(P42:P43)</f>
        <v>15000000</v>
      </c>
      <c r="Q41" s="922">
        <f t="shared" si="19"/>
        <v>1</v>
      </c>
      <c r="R41" s="652">
        <f>R42+R43+R47</f>
        <v>6000002</v>
      </c>
      <c r="S41" s="279">
        <f>SUM(S42:S43)</f>
        <v>8488680</v>
      </c>
      <c r="T41" s="279">
        <f>SUM(T42:T43)</f>
        <v>8488680</v>
      </c>
      <c r="U41" s="279">
        <f>SUM(U42:U43)</f>
        <v>8488680</v>
      </c>
      <c r="V41" s="279">
        <f>SUM(V42:V43)</f>
        <v>8382000</v>
      </c>
      <c r="W41" s="64">
        <f>SUM(W42:W43)</f>
        <v>8382000</v>
      </c>
      <c r="X41" s="922">
        <f>+W41/V41</f>
        <v>1</v>
      </c>
      <c r="Y41" s="605"/>
    </row>
    <row r="42" spans="1:25" ht="21.75" customHeight="1">
      <c r="A42" s="55"/>
      <c r="B42" s="62" t="s">
        <v>315</v>
      </c>
      <c r="C42" s="1372" t="s">
        <v>317</v>
      </c>
      <c r="D42" s="1372"/>
      <c r="E42" s="760">
        <v>15000000</v>
      </c>
      <c r="F42" s="760">
        <v>15000000</v>
      </c>
      <c r="G42" s="760">
        <v>15000000</v>
      </c>
      <c r="H42" s="760">
        <v>15000000</v>
      </c>
      <c r="I42" s="760">
        <v>15000000</v>
      </c>
      <c r="J42" s="926">
        <f t="shared" si="17"/>
        <v>1</v>
      </c>
      <c r="K42" s="926">
        <f t="shared" si="1"/>
        <v>6.666666666666667E-08</v>
      </c>
      <c r="L42" s="752">
        <f>E42-S42</f>
        <v>15000000</v>
      </c>
      <c r="M42" s="752">
        <f>F42-T42</f>
        <v>15000000</v>
      </c>
      <c r="N42" s="752">
        <f>G42-U42</f>
        <v>15000000</v>
      </c>
      <c r="O42" s="794">
        <f>H42-V42</f>
        <v>15000000</v>
      </c>
      <c r="P42" s="794">
        <f>I42-W42</f>
        <v>15000000</v>
      </c>
      <c r="Q42" s="926">
        <f t="shared" si="19"/>
        <v>1</v>
      </c>
      <c r="R42" s="771">
        <v>2</v>
      </c>
      <c r="S42" s="760">
        <v>0</v>
      </c>
      <c r="T42" s="760">
        <v>0</v>
      </c>
      <c r="U42" s="760">
        <v>0</v>
      </c>
      <c r="V42" s="760">
        <v>0</v>
      </c>
      <c r="W42" s="759">
        <v>0</v>
      </c>
      <c r="X42" s="926"/>
      <c r="Y42" s="609"/>
    </row>
    <row r="43" spans="1:25" ht="21.75" customHeight="1">
      <c r="A43" s="54"/>
      <c r="B43" s="51" t="s">
        <v>316</v>
      </c>
      <c r="C43" s="1360" t="s">
        <v>318</v>
      </c>
      <c r="D43" s="1360"/>
      <c r="E43" s="287">
        <f>SUM(E44:E46)</f>
        <v>8488680</v>
      </c>
      <c r="F43" s="287">
        <f>SUM(F44:F46)</f>
        <v>8488680</v>
      </c>
      <c r="G43" s="287">
        <f>SUM(G44:G46)</f>
        <v>8488680</v>
      </c>
      <c r="H43" s="287">
        <f>SUM(H44:H46)</f>
        <v>8382000</v>
      </c>
      <c r="I43" s="226">
        <f>SUM(I44:I46)</f>
        <v>8382000</v>
      </c>
      <c r="J43" s="921">
        <f>+I43/H43</f>
        <v>1</v>
      </c>
      <c r="K43" s="921">
        <f t="shared" si="1"/>
        <v>1.1930326890956813E-07</v>
      </c>
      <c r="L43" s="226">
        <f>SUM(L44:L46)</f>
        <v>0</v>
      </c>
      <c r="M43" s="226">
        <f>SUM(M44:M46)</f>
        <v>0</v>
      </c>
      <c r="N43" s="226">
        <f>SUM(N44:N46)</f>
        <v>0</v>
      </c>
      <c r="O43" s="226">
        <f>SUM(O44:O46)</f>
        <v>0</v>
      </c>
      <c r="P43" s="226">
        <f>SUM(P44:P46)</f>
        <v>0</v>
      </c>
      <c r="Q43" s="921"/>
      <c r="R43" s="769">
        <f aca="true" t="shared" si="20" ref="R43:W43">SUM(R44:R46)</f>
        <v>6000000</v>
      </c>
      <c r="S43" s="287">
        <f t="shared" si="20"/>
        <v>8488680</v>
      </c>
      <c r="T43" s="287">
        <f t="shared" si="20"/>
        <v>8488680</v>
      </c>
      <c r="U43" s="287">
        <f t="shared" si="20"/>
        <v>8488680</v>
      </c>
      <c r="V43" s="287">
        <f t="shared" si="20"/>
        <v>8382000</v>
      </c>
      <c r="W43" s="226">
        <f t="shared" si="20"/>
        <v>8382000</v>
      </c>
      <c r="X43" s="921">
        <f>+W43/V43</f>
        <v>1</v>
      </c>
      <c r="Y43" s="589"/>
    </row>
    <row r="44" spans="1:25" ht="21.75" customHeight="1">
      <c r="A44" s="54"/>
      <c r="B44" s="62"/>
      <c r="C44" s="56" t="s">
        <v>319</v>
      </c>
      <c r="D44" s="485" t="s">
        <v>33</v>
      </c>
      <c r="E44" s="753">
        <v>0</v>
      </c>
      <c r="F44" s="753">
        <v>0</v>
      </c>
      <c r="G44" s="753">
        <v>0</v>
      </c>
      <c r="H44" s="753">
        <v>0</v>
      </c>
      <c r="I44" s="754">
        <v>0</v>
      </c>
      <c r="J44" s="920"/>
      <c r="K44" s="920"/>
      <c r="L44" s="754"/>
      <c r="M44" s="754"/>
      <c r="N44" s="754"/>
      <c r="O44" s="754">
        <v>0</v>
      </c>
      <c r="P44" s="754">
        <v>0</v>
      </c>
      <c r="Q44" s="920"/>
      <c r="R44" s="770">
        <v>0</v>
      </c>
      <c r="S44" s="753">
        <v>0</v>
      </c>
      <c r="T44" s="753">
        <v>0</v>
      </c>
      <c r="U44" s="753">
        <v>0</v>
      </c>
      <c r="V44" s="753">
        <v>0</v>
      </c>
      <c r="W44" s="754">
        <v>0</v>
      </c>
      <c r="X44" s="920"/>
      <c r="Y44" s="589"/>
    </row>
    <row r="45" spans="1:25" ht="21.75" customHeight="1">
      <c r="A45" s="54"/>
      <c r="B45" s="51"/>
      <c r="C45" s="50" t="s">
        <v>320</v>
      </c>
      <c r="D45" s="485" t="s">
        <v>32</v>
      </c>
      <c r="E45" s="753">
        <v>8488680</v>
      </c>
      <c r="F45" s="753">
        <v>8488680</v>
      </c>
      <c r="G45" s="753">
        <v>8488680</v>
      </c>
      <c r="H45" s="753">
        <v>8382000</v>
      </c>
      <c r="I45" s="753">
        <v>8382000</v>
      </c>
      <c r="J45" s="924">
        <f>+I45/H45</f>
        <v>1</v>
      </c>
      <c r="K45" s="924">
        <f t="shared" si="1"/>
        <v>1.1930326890956813E-07</v>
      </c>
      <c r="L45" s="752">
        <f>E45-S45</f>
        <v>0</v>
      </c>
      <c r="M45" s="752">
        <f>F45-T45</f>
        <v>0</v>
      </c>
      <c r="N45" s="752">
        <f>G45-U45</f>
        <v>0</v>
      </c>
      <c r="O45" s="754">
        <v>0</v>
      </c>
      <c r="P45" s="754">
        <v>0</v>
      </c>
      <c r="Q45" s="924"/>
      <c r="R45" s="770">
        <v>0</v>
      </c>
      <c r="S45" s="753">
        <v>8488680</v>
      </c>
      <c r="T45" s="753">
        <v>8488680</v>
      </c>
      <c r="U45" s="753">
        <v>8488680</v>
      </c>
      <c r="V45" s="753">
        <v>8382000</v>
      </c>
      <c r="W45" s="754">
        <v>8382000</v>
      </c>
      <c r="X45" s="924">
        <f>+W45/V45</f>
        <v>1</v>
      </c>
      <c r="Y45" s="589"/>
    </row>
    <row r="46" spans="1:25" ht="21.75" customHeight="1">
      <c r="A46" s="58"/>
      <c r="B46" s="62"/>
      <c r="C46" s="56" t="s">
        <v>321</v>
      </c>
      <c r="D46" s="485" t="s">
        <v>322</v>
      </c>
      <c r="E46" s="753"/>
      <c r="F46" s="753"/>
      <c r="G46" s="753"/>
      <c r="H46" s="753"/>
      <c r="I46" s="754"/>
      <c r="J46" s="920"/>
      <c r="K46" s="920"/>
      <c r="L46" s="754"/>
      <c r="M46" s="754"/>
      <c r="N46" s="754"/>
      <c r="O46" s="794">
        <f>H46-V46</f>
        <v>0</v>
      </c>
      <c r="P46" s="794">
        <f>I46-W46</f>
        <v>0</v>
      </c>
      <c r="Q46" s="920"/>
      <c r="R46" s="770">
        <v>6000000</v>
      </c>
      <c r="S46" s="753">
        <v>0</v>
      </c>
      <c r="T46" s="753">
        <v>0</v>
      </c>
      <c r="U46" s="753">
        <v>0</v>
      </c>
      <c r="V46" s="753">
        <v>0</v>
      </c>
      <c r="W46" s="754">
        <v>0</v>
      </c>
      <c r="X46" s="920"/>
      <c r="Y46" s="589"/>
    </row>
    <row r="47" spans="1:25" ht="21.75" customHeight="1" thickBot="1">
      <c r="A47" s="289"/>
      <c r="B47" s="51" t="s">
        <v>347</v>
      </c>
      <c r="C47" s="1360" t="s">
        <v>471</v>
      </c>
      <c r="D47" s="1360"/>
      <c r="E47" s="753">
        <v>0</v>
      </c>
      <c r="F47" s="753">
        <v>0</v>
      </c>
      <c r="G47" s="753">
        <v>0</v>
      </c>
      <c r="H47" s="753">
        <v>0</v>
      </c>
      <c r="I47" s="754"/>
      <c r="J47" s="920"/>
      <c r="K47" s="920"/>
      <c r="L47" s="752"/>
      <c r="M47" s="752"/>
      <c r="N47" s="752"/>
      <c r="O47" s="754">
        <v>0</v>
      </c>
      <c r="P47" s="754">
        <v>1</v>
      </c>
      <c r="Q47" s="920"/>
      <c r="R47" s="768">
        <f>K47-Y47</f>
        <v>0</v>
      </c>
      <c r="S47" s="753">
        <v>0</v>
      </c>
      <c r="T47" s="753">
        <v>0</v>
      </c>
      <c r="U47" s="753">
        <v>0</v>
      </c>
      <c r="V47" s="753">
        <v>0</v>
      </c>
      <c r="W47" s="754">
        <v>0</v>
      </c>
      <c r="X47" s="920"/>
      <c r="Y47" s="589"/>
    </row>
    <row r="48" spans="1:25" ht="21.75" customHeight="1" hidden="1" thickBot="1">
      <c r="A48" s="289"/>
      <c r="B48" s="62"/>
      <c r="C48" s="1366"/>
      <c r="D48" s="1366"/>
      <c r="E48" s="433"/>
      <c r="F48" s="433"/>
      <c r="G48" s="433"/>
      <c r="H48" s="433"/>
      <c r="I48" s="434"/>
      <c r="J48" s="927" t="e">
        <f aca="true" t="shared" si="21" ref="J48:J53">+I48/H48</f>
        <v>#DIV/0!</v>
      </c>
      <c r="K48" s="927" t="e">
        <f t="shared" si="1"/>
        <v>#DIV/0!</v>
      </c>
      <c r="L48" s="434"/>
      <c r="M48" s="434"/>
      <c r="N48" s="434"/>
      <c r="O48" s="434"/>
      <c r="P48" s="434"/>
      <c r="Q48" s="927" t="e">
        <f aca="true" t="shared" si="22" ref="Q48:Q53">+P48/O48</f>
        <v>#DIV/0!</v>
      </c>
      <c r="R48" s="772"/>
      <c r="S48" s="433"/>
      <c r="T48" s="433"/>
      <c r="U48" s="433"/>
      <c r="V48" s="433"/>
      <c r="W48" s="434"/>
      <c r="X48" s="927" t="e">
        <f>+W48/V48</f>
        <v>#DIV/0!</v>
      </c>
      <c r="Y48" s="590"/>
    </row>
    <row r="49" spans="1:25" ht="21.75" customHeight="1" thickBot="1">
      <c r="A49" s="61" t="s">
        <v>12</v>
      </c>
      <c r="B49" s="1368" t="s">
        <v>74</v>
      </c>
      <c r="C49" s="1368"/>
      <c r="D49" s="1368"/>
      <c r="E49" s="279">
        <f>E50+E51</f>
        <v>60000</v>
      </c>
      <c r="F49" s="279">
        <f>F50+F51</f>
        <v>1060000</v>
      </c>
      <c r="G49" s="279">
        <f>G50+G51</f>
        <v>1060000</v>
      </c>
      <c r="H49" s="279">
        <f>H50+H51</f>
        <v>11699300</v>
      </c>
      <c r="I49" s="64">
        <f>I50+I51</f>
        <v>11699300</v>
      </c>
      <c r="J49" s="922">
        <f t="shared" si="21"/>
        <v>1</v>
      </c>
      <c r="K49" s="922">
        <f t="shared" si="1"/>
        <v>8.547519937090253E-08</v>
      </c>
      <c r="L49" s="64">
        <f>L50+L51</f>
        <v>60000</v>
      </c>
      <c r="M49" s="64">
        <f>M50+M51</f>
        <v>1060000</v>
      </c>
      <c r="N49" s="64">
        <f>N50+N51</f>
        <v>1060000</v>
      </c>
      <c r="O49" s="64">
        <f>O50+O51</f>
        <v>11699300</v>
      </c>
      <c r="P49" s="64">
        <f>P50+P51</f>
        <v>11699300</v>
      </c>
      <c r="Q49" s="922">
        <f t="shared" si="22"/>
        <v>1</v>
      </c>
      <c r="R49" s="652">
        <f aca="true" t="shared" si="23" ref="R49:W49">R50+R51</f>
        <v>1.3419360018811168E-05</v>
      </c>
      <c r="S49" s="279">
        <f t="shared" si="23"/>
        <v>0</v>
      </c>
      <c r="T49" s="279">
        <f t="shared" si="23"/>
        <v>0</v>
      </c>
      <c r="U49" s="279">
        <f t="shared" si="23"/>
        <v>0</v>
      </c>
      <c r="V49" s="279">
        <f t="shared" si="23"/>
        <v>0</v>
      </c>
      <c r="W49" s="64">
        <f t="shared" si="23"/>
        <v>0</v>
      </c>
      <c r="X49" s="922"/>
      <c r="Y49" s="605"/>
    </row>
    <row r="50" spans="1:25" s="804" customFormat="1" ht="21.75" customHeight="1">
      <c r="A50" s="803"/>
      <c r="B50" s="62" t="s">
        <v>44</v>
      </c>
      <c r="C50" s="1372" t="s">
        <v>334</v>
      </c>
      <c r="D50" s="1372"/>
      <c r="E50" s="760">
        <v>60000</v>
      </c>
      <c r="F50" s="760">
        <v>60000</v>
      </c>
      <c r="G50" s="760">
        <v>60000</v>
      </c>
      <c r="H50" s="760">
        <v>75000</v>
      </c>
      <c r="I50" s="760">
        <v>75000</v>
      </c>
      <c r="J50" s="926">
        <f t="shared" si="21"/>
        <v>1</v>
      </c>
      <c r="K50" s="926">
        <f t="shared" si="1"/>
        <v>1.3333333333333333E-05</v>
      </c>
      <c r="L50" s="752">
        <f aca="true" t="shared" si="24" ref="L50:N51">E50</f>
        <v>60000</v>
      </c>
      <c r="M50" s="752">
        <f t="shared" si="24"/>
        <v>60000</v>
      </c>
      <c r="N50" s="752">
        <f t="shared" si="24"/>
        <v>60000</v>
      </c>
      <c r="O50" s="794">
        <f>H50-V50</f>
        <v>75000</v>
      </c>
      <c r="P50" s="794">
        <f>I50-W50</f>
        <v>75000</v>
      </c>
      <c r="Q50" s="926">
        <f t="shared" si="22"/>
        <v>1</v>
      </c>
      <c r="R50" s="768">
        <f>K50</f>
        <v>1.3333333333333333E-05</v>
      </c>
      <c r="S50" s="760">
        <v>0</v>
      </c>
      <c r="T50" s="760">
        <v>0</v>
      </c>
      <c r="U50" s="760">
        <v>0</v>
      </c>
      <c r="V50" s="760">
        <v>0</v>
      </c>
      <c r="W50" s="759">
        <v>0</v>
      </c>
      <c r="X50" s="926"/>
      <c r="Y50" s="609"/>
    </row>
    <row r="51" spans="1:25" s="804" customFormat="1" ht="21.75" customHeight="1" thickBot="1">
      <c r="A51" s="54"/>
      <c r="B51" s="50" t="s">
        <v>45</v>
      </c>
      <c r="C51" s="1360" t="s">
        <v>457</v>
      </c>
      <c r="D51" s="1360"/>
      <c r="E51" s="761"/>
      <c r="F51" s="761">
        <v>1000000</v>
      </c>
      <c r="G51" s="761">
        <v>1000000</v>
      </c>
      <c r="H51" s="761">
        <f>1000000+10624300</f>
        <v>11624300</v>
      </c>
      <c r="I51" s="762">
        <f>1000000+2818300+7806000</f>
        <v>11624300</v>
      </c>
      <c r="J51" s="928">
        <f t="shared" si="21"/>
        <v>1</v>
      </c>
      <c r="K51" s="928">
        <f t="shared" si="1"/>
        <v>8.602668547783523E-08</v>
      </c>
      <c r="L51" s="752">
        <f t="shared" si="24"/>
        <v>0</v>
      </c>
      <c r="M51" s="752">
        <f t="shared" si="24"/>
        <v>1000000</v>
      </c>
      <c r="N51" s="752">
        <f t="shared" si="24"/>
        <v>1000000</v>
      </c>
      <c r="O51" s="794">
        <f>H51-V51</f>
        <v>11624300</v>
      </c>
      <c r="P51" s="794">
        <f>I51-W51</f>
        <v>11624300</v>
      </c>
      <c r="Q51" s="928">
        <f t="shared" si="22"/>
        <v>1</v>
      </c>
      <c r="R51" s="768">
        <f>K51</f>
        <v>8.602668547783523E-08</v>
      </c>
      <c r="S51" s="761">
        <v>0</v>
      </c>
      <c r="T51" s="761">
        <v>0</v>
      </c>
      <c r="U51" s="761">
        <v>0</v>
      </c>
      <c r="V51" s="761">
        <v>0</v>
      </c>
      <c r="W51" s="762">
        <v>0</v>
      </c>
      <c r="X51" s="928"/>
      <c r="Y51" s="614"/>
    </row>
    <row r="52" spans="1:25" ht="21.75" customHeight="1" thickBot="1">
      <c r="A52" s="61" t="s">
        <v>13</v>
      </c>
      <c r="B52" s="1368" t="s">
        <v>323</v>
      </c>
      <c r="C52" s="1368"/>
      <c r="D52" s="1368"/>
      <c r="E52" s="275">
        <f>SUM(E53:E54)</f>
        <v>25000000</v>
      </c>
      <c r="F52" s="275">
        <f>SUM(F53:F54)</f>
        <v>25950000</v>
      </c>
      <c r="G52" s="275">
        <f>SUM(G53:G54)</f>
        <v>25950000</v>
      </c>
      <c r="H52" s="275">
        <f>SUM(H53:H54)</f>
        <v>25950000</v>
      </c>
      <c r="I52" s="35">
        <f>SUM(I53:I54)</f>
        <v>25950000</v>
      </c>
      <c r="J52" s="929">
        <f t="shared" si="21"/>
        <v>1</v>
      </c>
      <c r="K52" s="929">
        <f t="shared" si="1"/>
        <v>3.853564547206166E-08</v>
      </c>
      <c r="L52" s="35">
        <f>SUM(L53:L54)</f>
        <v>25000000</v>
      </c>
      <c r="M52" s="35">
        <f>SUM(M53:M54)</f>
        <v>25950000</v>
      </c>
      <c r="N52" s="35">
        <f>SUM(N53:N54)</f>
        <v>25950000</v>
      </c>
      <c r="O52" s="35">
        <f>SUM(O53:O54)</f>
        <v>25950000</v>
      </c>
      <c r="P52" s="35">
        <f>SUM(P53:P54)</f>
        <v>25950000</v>
      </c>
      <c r="Q52" s="929">
        <f t="shared" si="22"/>
        <v>1</v>
      </c>
      <c r="R52" s="649">
        <f aca="true" t="shared" si="25" ref="R52:W52">SUM(R53:R54)</f>
        <v>2.0000000385356453</v>
      </c>
      <c r="S52" s="275">
        <f t="shared" si="25"/>
        <v>0</v>
      </c>
      <c r="T52" s="275">
        <f t="shared" si="25"/>
        <v>0</v>
      </c>
      <c r="U52" s="275">
        <f t="shared" si="25"/>
        <v>0</v>
      </c>
      <c r="V52" s="275">
        <f t="shared" si="25"/>
        <v>0</v>
      </c>
      <c r="W52" s="35">
        <f t="shared" si="25"/>
        <v>0</v>
      </c>
      <c r="X52" s="929"/>
      <c r="Y52" s="611"/>
    </row>
    <row r="53" spans="1:25" s="6" customFormat="1" ht="21.75" customHeight="1">
      <c r="A53" s="63"/>
      <c r="B53" s="56" t="s">
        <v>46</v>
      </c>
      <c r="C53" s="1372" t="s">
        <v>325</v>
      </c>
      <c r="D53" s="1372"/>
      <c r="E53" s="763">
        <v>25000000</v>
      </c>
      <c r="F53" s="763">
        <v>25950000</v>
      </c>
      <c r="G53" s="763">
        <v>25950000</v>
      </c>
      <c r="H53" s="763">
        <v>25950000</v>
      </c>
      <c r="I53" s="752">
        <v>25950000</v>
      </c>
      <c r="J53" s="930">
        <f t="shared" si="21"/>
        <v>1</v>
      </c>
      <c r="K53" s="930">
        <f t="shared" si="1"/>
        <v>3.853564547206166E-08</v>
      </c>
      <c r="L53" s="752">
        <f>E53</f>
        <v>25000000</v>
      </c>
      <c r="M53" s="752">
        <f>F53</f>
        <v>25950000</v>
      </c>
      <c r="N53" s="752">
        <f>G53</f>
        <v>25950000</v>
      </c>
      <c r="O53" s="794">
        <f>H53-V53</f>
        <v>25950000</v>
      </c>
      <c r="P53" s="794">
        <f>I53-W53</f>
        <v>25950000</v>
      </c>
      <c r="Q53" s="930">
        <f t="shared" si="22"/>
        <v>1</v>
      </c>
      <c r="R53" s="768">
        <f>K53</f>
        <v>3.853564547206166E-08</v>
      </c>
      <c r="S53" s="763">
        <v>0</v>
      </c>
      <c r="T53" s="763">
        <v>0</v>
      </c>
      <c r="U53" s="763">
        <v>0</v>
      </c>
      <c r="V53" s="763">
        <v>0</v>
      </c>
      <c r="W53" s="752">
        <v>0</v>
      </c>
      <c r="X53" s="930"/>
      <c r="Y53" s="616"/>
    </row>
    <row r="54" spans="1:25" ht="21.75" customHeight="1" thickBot="1">
      <c r="A54" s="58"/>
      <c r="B54" s="59" t="s">
        <v>324</v>
      </c>
      <c r="C54" s="1373" t="s">
        <v>326</v>
      </c>
      <c r="D54" s="1373"/>
      <c r="E54" s="764">
        <v>0</v>
      </c>
      <c r="F54" s="764">
        <v>0</v>
      </c>
      <c r="G54" s="764">
        <v>0</v>
      </c>
      <c r="H54" s="764">
        <v>0</v>
      </c>
      <c r="I54" s="765">
        <v>0</v>
      </c>
      <c r="J54" s="931"/>
      <c r="K54" s="931"/>
      <c r="L54" s="765">
        <v>0</v>
      </c>
      <c r="M54" s="765">
        <v>0</v>
      </c>
      <c r="N54" s="765">
        <v>0</v>
      </c>
      <c r="O54" s="765">
        <v>0</v>
      </c>
      <c r="P54" s="765">
        <v>0</v>
      </c>
      <c r="Q54" s="931"/>
      <c r="R54" s="773">
        <v>2</v>
      </c>
      <c r="S54" s="764">
        <v>0</v>
      </c>
      <c r="T54" s="764">
        <v>0</v>
      </c>
      <c r="U54" s="764">
        <v>0</v>
      </c>
      <c r="V54" s="764">
        <v>0</v>
      </c>
      <c r="W54" s="765">
        <v>0</v>
      </c>
      <c r="X54" s="931"/>
      <c r="Y54" s="613"/>
    </row>
    <row r="55" spans="1:25" ht="21.75" customHeight="1" thickBot="1">
      <c r="A55" s="61" t="s">
        <v>14</v>
      </c>
      <c r="B55" s="1379" t="s">
        <v>76</v>
      </c>
      <c r="C55" s="1379"/>
      <c r="D55" s="1379"/>
      <c r="E55" s="275">
        <f>E7+E21+E41+E49+E52+E32</f>
        <v>638826060</v>
      </c>
      <c r="F55" s="275">
        <f>F7+F21+F41+F49+F52+F32</f>
        <v>644080976</v>
      </c>
      <c r="G55" s="275">
        <f>G7+G21+G41+G49+G52+G32</f>
        <v>649118134</v>
      </c>
      <c r="H55" s="275">
        <f>H7+H21+H41+H49+H52+H32</f>
        <v>678059845</v>
      </c>
      <c r="I55" s="35">
        <f>I7+I21+I41+I49+I52+I32</f>
        <v>626759723</v>
      </c>
      <c r="J55" s="929">
        <f aca="true" t="shared" si="26" ref="J55:J62">+I55/H55</f>
        <v>0.9243427812776615</v>
      </c>
      <c r="K55" s="929">
        <f t="shared" si="1"/>
        <v>1.4747960779184616E-09</v>
      </c>
      <c r="L55" s="35">
        <f>L7+L21+L41+L49+L52+L32</f>
        <v>525439272</v>
      </c>
      <c r="M55" s="35">
        <f>M7+M21+M41+M49+M52+M32</f>
        <v>529133736</v>
      </c>
      <c r="N55" s="35">
        <f>N7+N21+N41+N49+N52+N32</f>
        <v>533504506</v>
      </c>
      <c r="O55" s="35">
        <f>O7+O21+O41+O49+O52+O32</f>
        <v>554430086</v>
      </c>
      <c r="P55" s="35">
        <f>P7+P21+P41+P49+P52+P32</f>
        <v>552195405</v>
      </c>
      <c r="Q55" s="929">
        <f aca="true" t="shared" si="27" ref="Q55:Q62">+P55/O55</f>
        <v>0.9959694088462581</v>
      </c>
      <c r="R55" s="649" t="e">
        <f aca="true" t="shared" si="28" ref="R55:W55">R7+R21+R41+R49+R52+R32</f>
        <v>#DIV/0!</v>
      </c>
      <c r="S55" s="275">
        <f t="shared" si="28"/>
        <v>113386788</v>
      </c>
      <c r="T55" s="275">
        <f t="shared" si="28"/>
        <v>114947240</v>
      </c>
      <c r="U55" s="275">
        <f t="shared" si="28"/>
        <v>115613628</v>
      </c>
      <c r="V55" s="275">
        <f t="shared" si="28"/>
        <v>123629759</v>
      </c>
      <c r="W55" s="35">
        <f t="shared" si="28"/>
        <v>74564318</v>
      </c>
      <c r="X55" s="929">
        <f aca="true" t="shared" si="29" ref="X55:X62">+W55/V55</f>
        <v>0.6031259674298969</v>
      </c>
      <c r="Y55" s="611">
        <f>W55/V55</f>
        <v>0.6031259674298969</v>
      </c>
    </row>
    <row r="56" spans="1:25" ht="24" customHeight="1" thickBot="1">
      <c r="A56" s="57" t="s">
        <v>57</v>
      </c>
      <c r="B56" s="1368" t="s">
        <v>327</v>
      </c>
      <c r="C56" s="1368"/>
      <c r="D56" s="1368"/>
      <c r="E56" s="275">
        <f>SUM(E57:E59)</f>
        <v>350848435</v>
      </c>
      <c r="F56" s="275">
        <f>SUM(F57:F59)</f>
        <v>350848435</v>
      </c>
      <c r="G56" s="275">
        <f>SUM(G57:G59)</f>
        <v>350848435</v>
      </c>
      <c r="H56" s="275">
        <f>SUM(H57:H59)</f>
        <v>361160992</v>
      </c>
      <c r="I56" s="35">
        <f>SUM(I57:I59)</f>
        <v>361160992</v>
      </c>
      <c r="J56" s="929">
        <f t="shared" si="26"/>
        <v>1</v>
      </c>
      <c r="K56" s="929">
        <f t="shared" si="1"/>
        <v>2.7688483035288595E-09</v>
      </c>
      <c r="L56" s="35">
        <f>SUM(L57:L59)</f>
        <v>350848435</v>
      </c>
      <c r="M56" s="35">
        <f>SUM(M57:M59)</f>
        <v>350848435</v>
      </c>
      <c r="N56" s="35">
        <f>SUM(N57:N59)</f>
        <v>350848435</v>
      </c>
      <c r="O56" s="35">
        <f>SUM(O57:O59)</f>
        <v>361160992</v>
      </c>
      <c r="P56" s="35">
        <f>SUM(P57:P59)</f>
        <v>361160992</v>
      </c>
      <c r="Q56" s="929">
        <f t="shared" si="27"/>
        <v>1</v>
      </c>
      <c r="R56" s="649">
        <f aca="true" t="shared" si="30" ref="R56:W56">SUM(R57:R59)</f>
        <v>1.000810479407166E-07</v>
      </c>
      <c r="S56" s="275">
        <f t="shared" si="30"/>
        <v>0</v>
      </c>
      <c r="T56" s="275">
        <f t="shared" si="30"/>
        <v>0</v>
      </c>
      <c r="U56" s="275">
        <f t="shared" si="30"/>
        <v>0</v>
      </c>
      <c r="V56" s="275">
        <f t="shared" si="30"/>
        <v>0</v>
      </c>
      <c r="W56" s="35">
        <f t="shared" si="30"/>
        <v>0</v>
      </c>
      <c r="X56" s="929"/>
      <c r="Y56" s="611"/>
    </row>
    <row r="57" spans="1:25" ht="21.75" customHeight="1">
      <c r="A57" s="55"/>
      <c r="B57" s="56" t="s">
        <v>47</v>
      </c>
      <c r="C57" s="1372" t="s">
        <v>540</v>
      </c>
      <c r="D57" s="1372"/>
      <c r="E57" s="763"/>
      <c r="F57" s="763"/>
      <c r="G57" s="763"/>
      <c r="H57" s="763">
        <v>10312557</v>
      </c>
      <c r="I57" s="763">
        <v>10312557</v>
      </c>
      <c r="J57" s="932">
        <f t="shared" si="26"/>
        <v>1</v>
      </c>
      <c r="K57" s="932">
        <f t="shared" si="1"/>
        <v>9.696916099469801E-08</v>
      </c>
      <c r="L57" s="752">
        <f aca="true" t="shared" si="31" ref="L57:N59">E57</f>
        <v>0</v>
      </c>
      <c r="M57" s="752">
        <f t="shared" si="31"/>
        <v>0</v>
      </c>
      <c r="N57" s="752">
        <f t="shared" si="31"/>
        <v>0</v>
      </c>
      <c r="O57" s="794">
        <f aca="true" t="shared" si="32" ref="O57:P59">H57-V57</f>
        <v>10312557</v>
      </c>
      <c r="P57" s="794">
        <f t="shared" si="32"/>
        <v>10312557</v>
      </c>
      <c r="Q57" s="932">
        <f t="shared" si="27"/>
        <v>1</v>
      </c>
      <c r="R57" s="768">
        <f>K57</f>
        <v>9.696916099469801E-08</v>
      </c>
      <c r="S57" s="763">
        <v>0</v>
      </c>
      <c r="T57" s="763">
        <v>0</v>
      </c>
      <c r="U57" s="763">
        <v>0</v>
      </c>
      <c r="V57" s="763">
        <v>0</v>
      </c>
      <c r="W57" s="752">
        <v>0</v>
      </c>
      <c r="X57" s="932"/>
      <c r="Y57" s="616"/>
    </row>
    <row r="58" spans="1:25" ht="21.75" customHeight="1">
      <c r="A58" s="54"/>
      <c r="B58" s="51" t="s">
        <v>48</v>
      </c>
      <c r="C58" s="1372" t="s">
        <v>505</v>
      </c>
      <c r="D58" s="1372"/>
      <c r="E58" s="761">
        <v>29500000</v>
      </c>
      <c r="F58" s="761">
        <v>29500000</v>
      </c>
      <c r="G58" s="761">
        <v>29500000</v>
      </c>
      <c r="H58" s="761">
        <v>29500000</v>
      </c>
      <c r="I58" s="761">
        <v>29500000</v>
      </c>
      <c r="J58" s="933">
        <f t="shared" si="26"/>
        <v>1</v>
      </c>
      <c r="K58" s="933">
        <f t="shared" si="1"/>
        <v>3.3898305084745764E-08</v>
      </c>
      <c r="L58" s="752">
        <f t="shared" si="31"/>
        <v>29500000</v>
      </c>
      <c r="M58" s="752">
        <f t="shared" si="31"/>
        <v>29500000</v>
      </c>
      <c r="N58" s="752">
        <f t="shared" si="31"/>
        <v>29500000</v>
      </c>
      <c r="O58" s="794">
        <f t="shared" si="32"/>
        <v>29500000</v>
      </c>
      <c r="P58" s="794">
        <f t="shared" si="32"/>
        <v>29500000</v>
      </c>
      <c r="Q58" s="933">
        <f t="shared" si="27"/>
        <v>1</v>
      </c>
      <c r="R58" s="774"/>
      <c r="S58" s="761">
        <v>0</v>
      </c>
      <c r="T58" s="761">
        <v>0</v>
      </c>
      <c r="U58" s="761">
        <v>0</v>
      </c>
      <c r="V58" s="761">
        <v>0</v>
      </c>
      <c r="W58" s="762">
        <v>0</v>
      </c>
      <c r="X58" s="933"/>
      <c r="Y58" s="614"/>
    </row>
    <row r="59" spans="1:25" ht="21.75" customHeight="1" thickBot="1">
      <c r="A59" s="54"/>
      <c r="B59" s="51" t="s">
        <v>75</v>
      </c>
      <c r="C59" s="1372" t="s">
        <v>328</v>
      </c>
      <c r="D59" s="1372"/>
      <c r="E59" s="761">
        <v>321348435</v>
      </c>
      <c r="F59" s="761">
        <v>321348435</v>
      </c>
      <c r="G59" s="761">
        <v>321348435</v>
      </c>
      <c r="H59" s="761">
        <v>321348435</v>
      </c>
      <c r="I59" s="761">
        <v>321348435</v>
      </c>
      <c r="J59" s="933">
        <f t="shared" si="26"/>
        <v>1</v>
      </c>
      <c r="K59" s="933">
        <f t="shared" si="1"/>
        <v>3.1118869460185795E-09</v>
      </c>
      <c r="L59" s="752">
        <f t="shared" si="31"/>
        <v>321348435</v>
      </c>
      <c r="M59" s="752">
        <f t="shared" si="31"/>
        <v>321348435</v>
      </c>
      <c r="N59" s="752">
        <f t="shared" si="31"/>
        <v>321348435</v>
      </c>
      <c r="O59" s="794">
        <f t="shared" si="32"/>
        <v>321348435</v>
      </c>
      <c r="P59" s="794">
        <f t="shared" si="32"/>
        <v>321348435</v>
      </c>
      <c r="Q59" s="933">
        <f t="shared" si="27"/>
        <v>1</v>
      </c>
      <c r="R59" s="768">
        <f>K59</f>
        <v>3.1118869460185795E-09</v>
      </c>
      <c r="S59" s="761">
        <v>0</v>
      </c>
      <c r="T59" s="761">
        <v>0</v>
      </c>
      <c r="U59" s="761">
        <v>0</v>
      </c>
      <c r="V59" s="761">
        <v>0</v>
      </c>
      <c r="W59" s="762">
        <v>0</v>
      </c>
      <c r="X59" s="933"/>
      <c r="Y59" s="614"/>
    </row>
    <row r="60" spans="1:25" ht="35.25" customHeight="1" thickBot="1">
      <c r="A60" s="61" t="s">
        <v>58</v>
      </c>
      <c r="B60" s="1378" t="s">
        <v>77</v>
      </c>
      <c r="C60" s="1378"/>
      <c r="D60" s="1378"/>
      <c r="E60" s="275">
        <f>E55+E56</f>
        <v>989674495</v>
      </c>
      <c r="F60" s="275">
        <f>F55+F56</f>
        <v>994929411</v>
      </c>
      <c r="G60" s="275">
        <f>G55+G56</f>
        <v>999966569</v>
      </c>
      <c r="H60" s="275">
        <f>H55+H56</f>
        <v>1039220837</v>
      </c>
      <c r="I60" s="35">
        <f>I55+I56</f>
        <v>987920715</v>
      </c>
      <c r="J60" s="929">
        <f t="shared" si="26"/>
        <v>0.9506359763261752</v>
      </c>
      <c r="K60" s="929">
        <f t="shared" si="1"/>
        <v>9.622593816409399E-10</v>
      </c>
      <c r="L60" s="35">
        <f>L55+L56</f>
        <v>876287707</v>
      </c>
      <c r="M60" s="35">
        <f>M55+M56</f>
        <v>879982171</v>
      </c>
      <c r="N60" s="35">
        <f>N55+N56</f>
        <v>884352941</v>
      </c>
      <c r="O60" s="35">
        <f>O55+O56</f>
        <v>915591078</v>
      </c>
      <c r="P60" s="35">
        <f>P55+P56</f>
        <v>913356397</v>
      </c>
      <c r="Q60" s="929">
        <f t="shared" si="27"/>
        <v>0.9975593023417382</v>
      </c>
      <c r="R60" s="649" t="e">
        <f aca="true" t="shared" si="33" ref="R60:W60">R55+R56</f>
        <v>#DIV/0!</v>
      </c>
      <c r="S60" s="275">
        <f t="shared" si="33"/>
        <v>113386788</v>
      </c>
      <c r="T60" s="275">
        <f t="shared" si="33"/>
        <v>114947240</v>
      </c>
      <c r="U60" s="275">
        <f t="shared" si="33"/>
        <v>115613628</v>
      </c>
      <c r="V60" s="275">
        <f t="shared" si="33"/>
        <v>123629759</v>
      </c>
      <c r="W60" s="35">
        <f t="shared" si="33"/>
        <v>74564318</v>
      </c>
      <c r="X60" s="929">
        <f t="shared" si="29"/>
        <v>0.6031259674298969</v>
      </c>
      <c r="Y60" s="611">
        <f>W60/V60</f>
        <v>0.6031259674298969</v>
      </c>
    </row>
    <row r="61" spans="1:25" ht="21.75" customHeight="1" hidden="1" thickBot="1">
      <c r="A61" s="1364" t="s">
        <v>239</v>
      </c>
      <c r="B61" s="1365"/>
      <c r="C61" s="1365"/>
      <c r="D61" s="1365"/>
      <c r="E61" s="435"/>
      <c r="F61" s="435"/>
      <c r="G61" s="435"/>
      <c r="H61" s="435"/>
      <c r="I61" s="436"/>
      <c r="J61" s="934" t="e">
        <f t="shared" si="26"/>
        <v>#DIV/0!</v>
      </c>
      <c r="K61" s="934" t="e">
        <f t="shared" si="1"/>
        <v>#DIV/0!</v>
      </c>
      <c r="L61" s="436"/>
      <c r="M61" s="436"/>
      <c r="N61" s="436"/>
      <c r="O61" s="436"/>
      <c r="P61" s="436"/>
      <c r="Q61" s="934" t="e">
        <f t="shared" si="27"/>
        <v>#DIV/0!</v>
      </c>
      <c r="R61" s="734"/>
      <c r="S61" s="435"/>
      <c r="T61" s="435"/>
      <c r="U61" s="435"/>
      <c r="V61" s="435"/>
      <c r="W61" s="436"/>
      <c r="X61" s="934" t="e">
        <f t="shared" si="29"/>
        <v>#DIV/0!</v>
      </c>
      <c r="Y61" s="441" t="e">
        <f>W61/V61</f>
        <v>#DIV/0!</v>
      </c>
    </row>
    <row r="62" spans="1:25" ht="21.75" customHeight="1" thickBot="1">
      <c r="A62" s="1377" t="s">
        <v>7</v>
      </c>
      <c r="B62" s="1378"/>
      <c r="C62" s="1378"/>
      <c r="D62" s="1378"/>
      <c r="E62" s="306">
        <f>E60+E61</f>
        <v>989674495</v>
      </c>
      <c r="F62" s="306">
        <f>F60+F61</f>
        <v>994929411</v>
      </c>
      <c r="G62" s="306">
        <f>G60+G61</f>
        <v>999966569</v>
      </c>
      <c r="H62" s="306">
        <f>H60+H61</f>
        <v>1039220837</v>
      </c>
      <c r="I62" s="307">
        <f>I60+I61</f>
        <v>987920715</v>
      </c>
      <c r="J62" s="935">
        <f t="shared" si="26"/>
        <v>0.9506359763261752</v>
      </c>
      <c r="K62" s="935">
        <f t="shared" si="1"/>
        <v>9.622593816409399E-10</v>
      </c>
      <c r="L62" s="307">
        <f>L60+L61</f>
        <v>876287707</v>
      </c>
      <c r="M62" s="307">
        <f>M60+M61</f>
        <v>879982171</v>
      </c>
      <c r="N62" s="307">
        <f>N60+N61</f>
        <v>884352941</v>
      </c>
      <c r="O62" s="307">
        <f>O60+O61</f>
        <v>915591078</v>
      </c>
      <c r="P62" s="307">
        <f>P60+P61</f>
        <v>913356397</v>
      </c>
      <c r="Q62" s="935">
        <f t="shared" si="27"/>
        <v>0.9975593023417382</v>
      </c>
      <c r="R62" s="735" t="e">
        <f aca="true" t="shared" si="34" ref="R62:W62">R60+R61</f>
        <v>#DIV/0!</v>
      </c>
      <c r="S62" s="306">
        <f t="shared" si="34"/>
        <v>113386788</v>
      </c>
      <c r="T62" s="306">
        <f t="shared" si="34"/>
        <v>114947240</v>
      </c>
      <c r="U62" s="306">
        <f t="shared" si="34"/>
        <v>115613628</v>
      </c>
      <c r="V62" s="306">
        <f t="shared" si="34"/>
        <v>123629759</v>
      </c>
      <c r="W62" s="307">
        <f t="shared" si="34"/>
        <v>74564318</v>
      </c>
      <c r="X62" s="935">
        <f t="shared" si="29"/>
        <v>0.6031259674298969</v>
      </c>
      <c r="Y62" s="309">
        <f>W62/V62</f>
        <v>0.6031259674298969</v>
      </c>
    </row>
    <row r="63" spans="1:25" ht="21.75" customHeight="1">
      <c r="A63" s="438"/>
      <c r="B63" s="439"/>
      <c r="C63" s="439"/>
      <c r="D63" s="439"/>
      <c r="E63" s="440"/>
      <c r="F63" s="440"/>
      <c r="G63" s="731"/>
      <c r="H63" s="440"/>
      <c r="I63" s="440"/>
      <c r="J63" s="731"/>
      <c r="K63" s="440"/>
      <c r="L63" s="440"/>
      <c r="M63" s="440"/>
      <c r="N63" s="440"/>
      <c r="O63" s="731"/>
      <c r="P63" s="440"/>
      <c r="Q63" s="440"/>
      <c r="R63" s="440"/>
      <c r="S63" s="440"/>
      <c r="T63" s="440"/>
      <c r="U63" s="440"/>
      <c r="V63" s="440"/>
      <c r="W63" s="440"/>
      <c r="X63" s="440"/>
      <c r="Y63" s="440"/>
    </row>
    <row r="64" spans="1:22" ht="21.75" customHeight="1">
      <c r="A64" s="41"/>
      <c r="B64" s="82"/>
      <c r="C64" s="82"/>
      <c r="D64" s="82"/>
      <c r="E64" s="250"/>
      <c r="G64" s="804"/>
      <c r="H64" s="250"/>
      <c r="K64" s="250"/>
      <c r="L64" s="804"/>
      <c r="T64" s="250"/>
      <c r="U64" s="250"/>
      <c r="V64" s="250"/>
    </row>
    <row r="65" spans="1:22" ht="35.25" customHeight="1">
      <c r="A65" s="41"/>
      <c r="B65" s="82"/>
      <c r="C65" s="82"/>
      <c r="D65" s="82"/>
      <c r="E65" s="805" t="str">
        <f>IF(E62='4.sz.m.ÖNK kiadás'!E39," ","HIBA - eltérő összesen")</f>
        <v> </v>
      </c>
      <c r="F65" s="805" t="str">
        <f>IF(F62='4.sz.m.ÖNK kiadás'!F39," ","HIBA - eltérő összesen")</f>
        <v> </v>
      </c>
      <c r="G65" s="805"/>
      <c r="H65" s="805"/>
      <c r="I65" s="805"/>
      <c r="J65" s="805"/>
      <c r="K65" s="250"/>
      <c r="M65" s="250"/>
      <c r="N65" s="250"/>
      <c r="P65" s="250"/>
      <c r="Q65" s="250"/>
      <c r="R65" s="250"/>
      <c r="T65" s="250"/>
      <c r="U65" s="250"/>
      <c r="V65" s="250"/>
    </row>
    <row r="66" spans="1:22" ht="35.25" customHeight="1">
      <c r="A66" s="41"/>
      <c r="B66" s="82"/>
      <c r="C66" s="82"/>
      <c r="D66" s="82"/>
      <c r="E66" s="806" t="str">
        <f>IF(L62+S62=E62," ","HIBA-nincs egyenlőség")</f>
        <v> </v>
      </c>
      <c r="F66" s="806" t="str">
        <f>IF(M62+T62=F62," ","HIBA-nincs egyenlőség")</f>
        <v> </v>
      </c>
      <c r="G66" s="806"/>
      <c r="H66" s="806"/>
      <c r="I66" s="806"/>
      <c r="J66" s="806"/>
      <c r="K66" s="806"/>
      <c r="L66" s="250"/>
      <c r="M66" s="250"/>
      <c r="N66" s="250"/>
      <c r="O66" s="250"/>
      <c r="P66" s="250"/>
      <c r="Q66" s="250"/>
      <c r="R66" s="250"/>
      <c r="T66" s="250"/>
      <c r="U66" s="250"/>
      <c r="V66" s="250"/>
    </row>
    <row r="67" spans="5:22" ht="12.75"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T67" s="250"/>
      <c r="U67" s="250"/>
      <c r="V67" s="250"/>
    </row>
    <row r="68" spans="5:22" ht="12.75"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T68" s="250"/>
      <c r="U68" s="250"/>
      <c r="V68" s="250"/>
    </row>
    <row r="69" spans="5:22" ht="12.75"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T69" s="250"/>
      <c r="U69" s="250"/>
      <c r="V69" s="250"/>
    </row>
    <row r="70" spans="4:22" ht="12.75">
      <c r="D70" s="48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T70" s="250"/>
      <c r="U70" s="250"/>
      <c r="V70" s="250"/>
    </row>
    <row r="71" spans="4:22" ht="48.75" customHeight="1">
      <c r="D71" s="48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T71" s="250"/>
      <c r="U71" s="250"/>
      <c r="V71" s="250"/>
    </row>
    <row r="72" spans="4:22" ht="46.5" customHeight="1">
      <c r="D72" s="48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T72" s="250"/>
      <c r="U72" s="250"/>
      <c r="V72" s="250"/>
    </row>
    <row r="73" spans="5:22" ht="41.25" customHeight="1"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T73" s="250"/>
      <c r="U73" s="250"/>
      <c r="V73" s="250"/>
    </row>
    <row r="74" spans="5:22" ht="12.75"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T74" s="250"/>
      <c r="U74" s="250"/>
      <c r="V74" s="250"/>
    </row>
    <row r="75" spans="5:22" ht="12.75"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T75" s="250"/>
      <c r="U75" s="250"/>
      <c r="V75" s="250"/>
    </row>
    <row r="76" spans="5:22" ht="12.75"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T76" s="250"/>
      <c r="U76" s="250"/>
      <c r="V76" s="250"/>
    </row>
    <row r="77" spans="5:22" ht="12.75"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T77" s="250"/>
      <c r="U77" s="250"/>
      <c r="V77" s="250"/>
    </row>
    <row r="78" spans="5:22" ht="12.75"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T78" s="250"/>
      <c r="U78" s="250"/>
      <c r="V78" s="250"/>
    </row>
    <row r="79" spans="5:22" ht="12.75"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T79" s="250"/>
      <c r="U79" s="250"/>
      <c r="V79" s="250"/>
    </row>
    <row r="80" spans="5:22" ht="12.75"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T80" s="250"/>
      <c r="U80" s="250"/>
      <c r="V80" s="250"/>
    </row>
    <row r="81" spans="5:22" ht="12.75"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T81" s="250"/>
      <c r="U81" s="250"/>
      <c r="V81" s="250"/>
    </row>
    <row r="82" spans="5:22" ht="12.75"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T82" s="250"/>
      <c r="U82" s="250"/>
      <c r="V82" s="250"/>
    </row>
    <row r="83" spans="5:22" ht="12.75"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T83" s="250"/>
      <c r="U83" s="250"/>
      <c r="V83" s="250"/>
    </row>
    <row r="84" spans="5:22" ht="12.75"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T84" s="250"/>
      <c r="U84" s="250"/>
      <c r="V84" s="250"/>
    </row>
    <row r="85" spans="5:22" ht="12.75"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T85" s="250"/>
      <c r="U85" s="250"/>
      <c r="V85" s="250"/>
    </row>
    <row r="86" spans="5:22" ht="12.75"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T86" s="250"/>
      <c r="U86" s="250"/>
      <c r="V86" s="250"/>
    </row>
    <row r="87" spans="5:22" ht="12.75"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T87" s="250"/>
      <c r="U87" s="250"/>
      <c r="V87" s="250"/>
    </row>
    <row r="88" spans="5:22" ht="12.75"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T88" s="250"/>
      <c r="U88" s="250"/>
      <c r="V88" s="250"/>
    </row>
    <row r="89" spans="5:22" ht="12.75"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T89" s="250"/>
      <c r="U89" s="250"/>
      <c r="V89" s="250"/>
    </row>
    <row r="90" spans="5:22" ht="12.75"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T90" s="250"/>
      <c r="U90" s="250"/>
      <c r="V90" s="250"/>
    </row>
    <row r="91" spans="5:22" ht="12.75"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T91" s="250"/>
      <c r="U91" s="250"/>
      <c r="V91" s="250"/>
    </row>
    <row r="92" spans="5:22" ht="12.75"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T92" s="250"/>
      <c r="U92" s="250"/>
      <c r="V92" s="250"/>
    </row>
    <row r="93" spans="5:22" ht="12.75"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T93" s="250"/>
      <c r="U93" s="250"/>
      <c r="V93" s="250"/>
    </row>
    <row r="94" spans="5:22" ht="12.75"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T94" s="250"/>
      <c r="U94" s="250"/>
      <c r="V94" s="250"/>
    </row>
    <row r="95" spans="5:22" ht="12.75"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T95" s="250"/>
      <c r="U95" s="250"/>
      <c r="V95" s="250"/>
    </row>
    <row r="96" spans="5:22" ht="12.75"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T96" s="250"/>
      <c r="U96" s="250"/>
      <c r="V96" s="250"/>
    </row>
    <row r="97" spans="5:22" ht="12.75"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T97" s="250"/>
      <c r="U97" s="250"/>
      <c r="V97" s="250"/>
    </row>
    <row r="98" spans="5:22" ht="12.75"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T98" s="250"/>
      <c r="U98" s="250"/>
      <c r="V98" s="250"/>
    </row>
    <row r="99" spans="5:22" ht="12.75"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T99" s="250"/>
      <c r="U99" s="250"/>
      <c r="V99" s="250"/>
    </row>
    <row r="100" spans="5:22" ht="12.75"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T100" s="250"/>
      <c r="U100" s="250"/>
      <c r="V100" s="250"/>
    </row>
    <row r="101" spans="5:22" ht="12.75"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  <c r="T101" s="250"/>
      <c r="U101" s="250"/>
      <c r="V101" s="250"/>
    </row>
    <row r="102" spans="5:22" ht="12.75"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T102" s="250"/>
      <c r="U102" s="250"/>
      <c r="V102" s="250"/>
    </row>
    <row r="103" spans="5:22" ht="12.75"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T103" s="250"/>
      <c r="U103" s="250"/>
      <c r="V103" s="250"/>
    </row>
    <row r="104" spans="5:22" ht="12.75"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T104" s="250"/>
      <c r="U104" s="250"/>
      <c r="V104" s="250"/>
    </row>
    <row r="105" spans="5:22" ht="12.75"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  <c r="T105" s="250"/>
      <c r="U105" s="250"/>
      <c r="V105" s="250"/>
    </row>
    <row r="106" spans="5:22" ht="12.75"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T106" s="250"/>
      <c r="U106" s="250"/>
      <c r="V106" s="250"/>
    </row>
    <row r="107" spans="5:22" ht="12.75"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T107" s="250"/>
      <c r="U107" s="250"/>
      <c r="V107" s="250"/>
    </row>
    <row r="108" spans="5:22" ht="12.75"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T108" s="250"/>
      <c r="U108" s="250"/>
      <c r="V108" s="250"/>
    </row>
    <row r="109" spans="5:22" ht="12.75"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  <c r="T109" s="250"/>
      <c r="U109" s="250"/>
      <c r="V109" s="250"/>
    </row>
    <row r="110" spans="5:22" ht="12.75"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T110" s="250"/>
      <c r="U110" s="250"/>
      <c r="V110" s="250"/>
    </row>
    <row r="111" spans="5:22" ht="12.75"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/>
      <c r="T111" s="250"/>
      <c r="U111" s="250"/>
      <c r="V111" s="250"/>
    </row>
  </sheetData>
  <sheetProtection/>
  <mergeCells count="46"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A4:C4"/>
    <mergeCell ref="B6:D6"/>
    <mergeCell ref="B7:D7"/>
    <mergeCell ref="E4:K4"/>
    <mergeCell ref="L4:R4"/>
    <mergeCell ref="S4:Y4"/>
    <mergeCell ref="S1:W1"/>
    <mergeCell ref="C20:D20"/>
    <mergeCell ref="C29:D29"/>
    <mergeCell ref="C30:D30"/>
    <mergeCell ref="C36:D36"/>
    <mergeCell ref="B32:D32"/>
    <mergeCell ref="C33:D33"/>
    <mergeCell ref="C34:D34"/>
    <mergeCell ref="C35:D35"/>
    <mergeCell ref="A2:S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zoomScale="70" zoomScaleNormal="70" zoomScalePageLayoutView="85" workbookViewId="0" topLeftCell="E8">
      <selection activeCell="AB14" sqref="AB14"/>
    </sheetView>
  </sheetViews>
  <sheetFormatPr defaultColWidth="9.140625" defaultRowHeight="12.75"/>
  <cols>
    <col min="1" max="1" width="5.8515625" style="69" customWidth="1"/>
    <col min="2" max="2" width="8.140625" style="28" customWidth="1"/>
    <col min="3" max="3" width="6.8515625" style="28" customWidth="1"/>
    <col min="4" max="4" width="50.140625" style="14" bestFit="1" customWidth="1"/>
    <col min="5" max="5" width="21.57421875" style="1" customWidth="1"/>
    <col min="6" max="6" width="18.421875" style="1" hidden="1" customWidth="1"/>
    <col min="7" max="7" width="17.00390625" style="1" hidden="1" customWidth="1"/>
    <col min="8" max="8" width="20.421875" style="1" customWidth="1"/>
    <col min="9" max="9" width="22.140625" style="1" customWidth="1"/>
    <col min="10" max="10" width="22.7109375" style="1" customWidth="1"/>
    <col min="11" max="11" width="11.8515625" style="1" hidden="1" customWidth="1"/>
    <col min="12" max="12" width="20.7109375" style="37" customWidth="1"/>
    <col min="13" max="13" width="16.421875" style="37" hidden="1" customWidth="1"/>
    <col min="14" max="14" width="18.28125" style="37" hidden="1" customWidth="1"/>
    <col min="15" max="15" width="15.7109375" style="37" customWidth="1"/>
    <col min="16" max="16" width="17.140625" style="37" customWidth="1"/>
    <col min="17" max="17" width="16.7109375" style="37" customWidth="1"/>
    <col min="18" max="18" width="10.8515625" style="37" hidden="1" customWidth="1"/>
    <col min="19" max="19" width="22.140625" style="37" customWidth="1"/>
    <col min="20" max="20" width="18.28125" style="37" hidden="1" customWidth="1"/>
    <col min="21" max="21" width="15.7109375" style="1" hidden="1" customWidth="1"/>
    <col min="22" max="22" width="17.7109375" style="1" customWidth="1"/>
    <col min="23" max="23" width="19.140625" style="1" customWidth="1"/>
    <col min="24" max="24" width="15.421875" style="1" customWidth="1"/>
    <col min="25" max="25" width="10.28125" style="1" hidden="1" customWidth="1"/>
    <col min="26" max="26" width="9.140625" style="1" hidden="1" customWidth="1"/>
    <col min="27" max="27" width="9.140625" style="1" customWidth="1"/>
    <col min="28" max="28" width="16.421875" style="1" customWidth="1"/>
    <col min="29" max="16384" width="9.140625" style="1" customWidth="1"/>
  </cols>
  <sheetData>
    <row r="1" spans="5:23" ht="15.75">
      <c r="E1" s="1434" t="s">
        <v>563</v>
      </c>
      <c r="F1" s="1434"/>
      <c r="G1" s="1434"/>
      <c r="H1" s="1434"/>
      <c r="I1" s="1434"/>
      <c r="J1" s="1434"/>
      <c r="K1" s="1434"/>
      <c r="L1" s="1434"/>
      <c r="M1" s="1434"/>
      <c r="N1" s="1434"/>
      <c r="O1" s="1434"/>
      <c r="P1" s="1434"/>
      <c r="Q1" s="1434"/>
      <c r="R1" s="1434"/>
      <c r="S1" s="1434"/>
      <c r="T1" s="1434"/>
      <c r="U1" s="1434"/>
      <c r="V1" s="1434"/>
      <c r="W1" s="1434"/>
    </row>
    <row r="2" spans="1:20" ht="37.5" customHeight="1">
      <c r="A2" s="1435" t="s">
        <v>543</v>
      </c>
      <c r="B2" s="1435"/>
      <c r="C2" s="1435"/>
      <c r="D2" s="1435"/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  <c r="Q2" s="1435"/>
      <c r="R2" s="1435"/>
      <c r="S2" s="1435"/>
      <c r="T2" s="186"/>
    </row>
    <row r="3" spans="1:19" ht="14.25" customHeight="1" thickBot="1">
      <c r="A3" s="41"/>
      <c r="B3" s="68"/>
      <c r="C3" s="68"/>
      <c r="D3" s="74"/>
      <c r="S3" s="80" t="s">
        <v>2</v>
      </c>
    </row>
    <row r="4" spans="1:25" s="2" customFormat="1" ht="48.75" customHeight="1" thickBot="1">
      <c r="A4" s="1402" t="s">
        <v>4</v>
      </c>
      <c r="B4" s="1379"/>
      <c r="C4" s="1379"/>
      <c r="D4" s="1379"/>
      <c r="E4" s="338" t="s">
        <v>5</v>
      </c>
      <c r="F4" s="303"/>
      <c r="G4" s="674"/>
      <c r="H4" s="302"/>
      <c r="I4" s="303"/>
      <c r="J4" s="733"/>
      <c r="K4" s="235"/>
      <c r="L4" s="338" t="s">
        <v>61</v>
      </c>
      <c r="M4" s="303"/>
      <c r="N4" s="674"/>
      <c r="O4" s="302"/>
      <c r="P4" s="303"/>
      <c r="Q4" s="733"/>
      <c r="R4" s="235"/>
      <c r="S4" s="1403" t="s">
        <v>62</v>
      </c>
      <c r="T4" s="1404"/>
      <c r="U4" s="1404"/>
      <c r="V4" s="1404"/>
      <c r="W4" s="1404"/>
      <c r="X4" s="1404"/>
      <c r="Y4" s="1405"/>
    </row>
    <row r="5" spans="1:25" s="2" customFormat="1" ht="16.5" thickBot="1">
      <c r="A5" s="231"/>
      <c r="B5" s="229"/>
      <c r="C5" s="229"/>
      <c r="D5" s="229"/>
      <c r="E5" s="301" t="s">
        <v>65</v>
      </c>
      <c r="F5" s="303" t="s">
        <v>227</v>
      </c>
      <c r="G5" s="674" t="s">
        <v>230</v>
      </c>
      <c r="H5" s="302" t="s">
        <v>232</v>
      </c>
      <c r="I5" s="303" t="s">
        <v>235</v>
      </c>
      <c r="J5" s="674" t="s">
        <v>236</v>
      </c>
      <c r="K5" s="615" t="s">
        <v>236</v>
      </c>
      <c r="L5" s="301" t="s">
        <v>65</v>
      </c>
      <c r="M5" s="301" t="s">
        <v>65</v>
      </c>
      <c r="N5" s="674" t="s">
        <v>230</v>
      </c>
      <c r="O5" s="302" t="s">
        <v>232</v>
      </c>
      <c r="P5" s="303" t="s">
        <v>235</v>
      </c>
      <c r="Q5" s="674" t="s">
        <v>236</v>
      </c>
      <c r="R5" s="615" t="s">
        <v>236</v>
      </c>
      <c r="S5" s="301" t="s">
        <v>65</v>
      </c>
      <c r="T5" s="302" t="s">
        <v>227</v>
      </c>
      <c r="U5" s="302" t="s">
        <v>230</v>
      </c>
      <c r="V5" s="302" t="s">
        <v>232</v>
      </c>
      <c r="W5" s="303" t="s">
        <v>235</v>
      </c>
      <c r="X5" s="674" t="s">
        <v>236</v>
      </c>
      <c r="Y5" s="737" t="s">
        <v>236</v>
      </c>
    </row>
    <row r="6" spans="1:28" s="36" customFormat="1" ht="22.5" customHeight="1" thickBot="1">
      <c r="A6" s="61" t="s">
        <v>27</v>
      </c>
      <c r="B6" s="1390" t="s">
        <v>78</v>
      </c>
      <c r="C6" s="1390"/>
      <c r="D6" s="1390"/>
      <c r="E6" s="275">
        <f>SUM(E7:E11)</f>
        <v>355227426</v>
      </c>
      <c r="F6" s="275">
        <f>SUM(F7:F11)</f>
        <v>352632607</v>
      </c>
      <c r="G6" s="275">
        <f>SUM(G7:G11)</f>
        <v>352900070</v>
      </c>
      <c r="H6" s="275">
        <f>SUM(H7:H11)</f>
        <v>423424455</v>
      </c>
      <c r="I6" s="275">
        <f>SUM(I7:I11)</f>
        <v>269687445</v>
      </c>
      <c r="J6" s="955">
        <f>+I6/H6</f>
        <v>0.6369198609466239</v>
      </c>
      <c r="K6" s="585">
        <f>I6/H6</f>
        <v>0.6369198609466239</v>
      </c>
      <c r="L6" s="275">
        <f aca="true" t="shared" si="0" ref="L6:T6">SUM(L7:L11)</f>
        <v>253536186</v>
      </c>
      <c r="M6" s="275">
        <f t="shared" si="0"/>
        <v>251380915</v>
      </c>
      <c r="N6" s="275">
        <f>SUM(N7:N11)</f>
        <v>251618377</v>
      </c>
      <c r="O6" s="275">
        <f t="shared" si="0"/>
        <v>323612038</v>
      </c>
      <c r="P6" s="275">
        <f t="shared" si="0"/>
        <v>245084607</v>
      </c>
      <c r="Q6" s="955">
        <f>+P6/O6</f>
        <v>0.7573408224078487</v>
      </c>
      <c r="R6" s="275">
        <f t="shared" si="0"/>
        <v>-5</v>
      </c>
      <c r="S6" s="275">
        <f t="shared" si="0"/>
        <v>101691240</v>
      </c>
      <c r="T6" s="275">
        <f t="shared" si="0"/>
        <v>101251692</v>
      </c>
      <c r="U6" s="275">
        <f aca="true" t="shared" si="1" ref="U6:Z6">SUM(U7:U11)</f>
        <v>101281693</v>
      </c>
      <c r="V6" s="275">
        <f t="shared" si="1"/>
        <v>99812417</v>
      </c>
      <c r="W6" s="275">
        <f t="shared" si="1"/>
        <v>24602838</v>
      </c>
      <c r="X6" s="955">
        <f>+W6/V6</f>
        <v>0.24649075475248736</v>
      </c>
      <c r="Y6" s="275">
        <f t="shared" si="1"/>
        <v>6.056846096921146</v>
      </c>
      <c r="Z6" s="275">
        <f t="shared" si="1"/>
        <v>2250009</v>
      </c>
      <c r="AB6" s="784"/>
    </row>
    <row r="7" spans="1:28" s="4" customFormat="1" ht="22.5" customHeight="1">
      <c r="A7" s="60"/>
      <c r="B7" s="65" t="s">
        <v>36</v>
      </c>
      <c r="C7" s="65"/>
      <c r="D7" s="267" t="s">
        <v>0</v>
      </c>
      <c r="E7" s="271">
        <v>73444579</v>
      </c>
      <c r="F7" s="271">
        <v>68989579</v>
      </c>
      <c r="G7" s="271">
        <v>68989579</v>
      </c>
      <c r="H7" s="271">
        <v>68989579</v>
      </c>
      <c r="I7" s="271">
        <v>43399423</v>
      </c>
      <c r="J7" s="1310">
        <f aca="true" t="shared" si="2" ref="J7:J39">+I7/H7</f>
        <v>0.6290721530566232</v>
      </c>
      <c r="K7" s="586"/>
      <c r="L7" s="276">
        <f aca="true" t="shared" si="3" ref="L7:P8">E7-S7</f>
        <v>40004579</v>
      </c>
      <c r="M7" s="276">
        <f t="shared" si="3"/>
        <v>35549579</v>
      </c>
      <c r="N7" s="276">
        <f t="shared" si="3"/>
        <v>35549579</v>
      </c>
      <c r="O7" s="276">
        <f t="shared" si="3"/>
        <v>35659579</v>
      </c>
      <c r="P7" s="276">
        <f t="shared" si="3"/>
        <v>34646568</v>
      </c>
      <c r="Q7" s="1310">
        <f aca="true" t="shared" si="4" ref="Q7:Q39">+P7/O7</f>
        <v>0.9715921772379871</v>
      </c>
      <c r="R7" s="276">
        <f>K7</f>
        <v>0</v>
      </c>
      <c r="S7" s="276">
        <f>12000000+21440000</f>
        <v>33440000</v>
      </c>
      <c r="T7" s="276">
        <f>12000000+21440000</f>
        <v>33440000</v>
      </c>
      <c r="U7" s="276">
        <f>12000000+21440000</f>
        <v>33440000</v>
      </c>
      <c r="V7" s="276">
        <f>28985000+'5.1 sz. m Köz Hiv'!S35</f>
        <v>33330000</v>
      </c>
      <c r="W7" s="276">
        <v>8752855</v>
      </c>
      <c r="X7" s="1310">
        <f aca="true" t="shared" si="5" ref="X7:X39">+W7/V7</f>
        <v>0.2626119111911191</v>
      </c>
      <c r="Y7" s="276">
        <v>0</v>
      </c>
      <c r="Z7" s="276">
        <v>0</v>
      </c>
      <c r="AB7" s="784"/>
    </row>
    <row r="8" spans="1:28" s="4" customFormat="1" ht="22.5" customHeight="1">
      <c r="A8" s="43"/>
      <c r="B8" s="52" t="s">
        <v>37</v>
      </c>
      <c r="C8" s="52"/>
      <c r="D8" s="268" t="s">
        <v>79</v>
      </c>
      <c r="E8" s="271">
        <v>15228919</v>
      </c>
      <c r="F8" s="271">
        <v>14360194</v>
      </c>
      <c r="G8" s="271">
        <v>14360194</v>
      </c>
      <c r="H8" s="271">
        <v>14360194</v>
      </c>
      <c r="I8" s="271">
        <v>7949707</v>
      </c>
      <c r="J8" s="1310">
        <f t="shared" si="2"/>
        <v>0.5535932871101881</v>
      </c>
      <c r="K8" s="667"/>
      <c r="L8" s="276">
        <f t="shared" si="3"/>
        <v>7872119</v>
      </c>
      <c r="M8" s="276">
        <f t="shared" si="3"/>
        <v>7003393</v>
      </c>
      <c r="N8" s="276">
        <f t="shared" si="3"/>
        <v>7003392</v>
      </c>
      <c r="O8" s="276">
        <f t="shared" si="3"/>
        <v>7024844</v>
      </c>
      <c r="P8" s="276">
        <f t="shared" si="3"/>
        <v>6309581</v>
      </c>
      <c r="Q8" s="1310">
        <f t="shared" si="4"/>
        <v>0.8981809418116616</v>
      </c>
      <c r="R8" s="276">
        <f>K8</f>
        <v>0</v>
      </c>
      <c r="S8" s="271">
        <v>7356800</v>
      </c>
      <c r="T8" s="271">
        <v>7356801</v>
      </c>
      <c r="U8" s="271">
        <v>7356802</v>
      </c>
      <c r="V8" s="271">
        <f>6488075+'5.1 sz. m Köz Hiv'!S36</f>
        <v>7335350</v>
      </c>
      <c r="W8" s="271">
        <v>1640126</v>
      </c>
      <c r="X8" s="1310">
        <f t="shared" si="5"/>
        <v>0.2235920576386948</v>
      </c>
      <c r="Y8" s="271">
        <v>0</v>
      </c>
      <c r="Z8" s="271">
        <v>0</v>
      </c>
      <c r="AB8" s="784"/>
    </row>
    <row r="9" spans="1:28" s="4" customFormat="1" ht="22.5" customHeight="1">
      <c r="A9" s="43"/>
      <c r="B9" s="52" t="s">
        <v>38</v>
      </c>
      <c r="C9" s="52"/>
      <c r="D9" s="268" t="s">
        <v>80</v>
      </c>
      <c r="E9" s="271">
        <v>104090826</v>
      </c>
      <c r="F9" s="271">
        <v>107259281</v>
      </c>
      <c r="G9" s="271">
        <v>110131184</v>
      </c>
      <c r="H9" s="271">
        <v>189140353</v>
      </c>
      <c r="I9" s="271">
        <v>68353986</v>
      </c>
      <c r="J9" s="1310">
        <f t="shared" si="2"/>
        <v>0.3613929281394542</v>
      </c>
      <c r="K9" s="667"/>
      <c r="L9" s="271">
        <f>'7.sz.m.Dologi kiadás (3)'!K37</f>
        <v>56549245</v>
      </c>
      <c r="M9" s="271">
        <f>'7.sz.m.Dologi kiadás (3)'!L37</f>
        <v>59717700</v>
      </c>
      <c r="N9" s="271">
        <f>'7.sz.m.Dologi kiadás (3)'!M37</f>
        <v>62589603</v>
      </c>
      <c r="O9" s="271">
        <f>'7.sz.m.Dologi kiadás (3)'!N37</f>
        <v>141494672</v>
      </c>
      <c r="P9" s="271">
        <f>'7.sz.m.Dologi kiadás (3)'!O37</f>
        <v>65645515</v>
      </c>
      <c r="Q9" s="1310">
        <f t="shared" si="4"/>
        <v>0.4639433702493052</v>
      </c>
      <c r="R9" s="271">
        <f>'7.sz.m.Dologi kiadás (3)'!Q37</f>
        <v>0</v>
      </c>
      <c r="S9" s="271">
        <f>'7.sz.m.Dologi kiadás (3)'!R37</f>
        <v>47541581</v>
      </c>
      <c r="T9" s="271">
        <f>'7.sz.m.Dologi kiadás (3)'!S37</f>
        <v>47541581</v>
      </c>
      <c r="U9" s="271">
        <f>'7.sz.m.Dologi kiadás (3)'!T37</f>
        <v>47541581</v>
      </c>
      <c r="V9" s="271">
        <f>'7.sz.m.Dologi kiadás (3)'!U37</f>
        <v>47645681</v>
      </c>
      <c r="W9" s="271">
        <f>'7.sz.m.Dologi kiadás (3)'!V37</f>
        <v>2708471</v>
      </c>
      <c r="X9" s="1310">
        <f t="shared" si="5"/>
        <v>0.05684609692114591</v>
      </c>
      <c r="Y9" s="271">
        <f>'7.sz.m.Dologi kiadás (3)'!X37</f>
        <v>0.05684609692114591</v>
      </c>
      <c r="Z9" s="271">
        <f>'7.sz.m.Dologi kiadás (3)'!Y37</f>
        <v>0</v>
      </c>
      <c r="AB9" s="784"/>
    </row>
    <row r="10" spans="1:28" s="4" customFormat="1" ht="22.5" customHeight="1">
      <c r="A10" s="43"/>
      <c r="B10" s="52" t="s">
        <v>49</v>
      </c>
      <c r="C10" s="52"/>
      <c r="D10" s="268" t="s">
        <v>81</v>
      </c>
      <c r="E10" s="271">
        <v>2250000</v>
      </c>
      <c r="F10" s="271">
        <v>2250000</v>
      </c>
      <c r="G10" s="271">
        <v>2401000</v>
      </c>
      <c r="H10" s="271">
        <v>2564000</v>
      </c>
      <c r="I10" s="271">
        <v>1614000</v>
      </c>
      <c r="J10" s="1310">
        <f t="shared" si="2"/>
        <v>0.6294851794071763</v>
      </c>
      <c r="K10" s="667"/>
      <c r="L10" s="271">
        <f>SUM('8.sz.m.szociális kiadások (2)'!C10:C15)</f>
        <v>2250000</v>
      </c>
      <c r="M10" s="271">
        <f>SUM('8.sz.m.szociális kiadások (2)'!D10:D15)</f>
        <v>2250000</v>
      </c>
      <c r="N10" s="271">
        <f>SUM('8.sz.m.szociális kiadások (2)'!E10:E17)</f>
        <v>2401000</v>
      </c>
      <c r="O10" s="271">
        <f>SUM('8.sz.m.szociális kiadások (2)'!F10:F17)</f>
        <v>2564000</v>
      </c>
      <c r="P10" s="271">
        <f>SUM('8.sz.m.szociális kiadások (2)'!G10:G17)</f>
        <v>1614000</v>
      </c>
      <c r="Q10" s="1310">
        <f t="shared" si="4"/>
        <v>0.6294851794071763</v>
      </c>
      <c r="R10" s="271">
        <f>'8.sz.m.szociális kiadások (2)'!I16+'8.sz.m.szociális kiadások (2)'!I18</f>
        <v>0</v>
      </c>
      <c r="S10" s="271"/>
      <c r="T10" s="271"/>
      <c r="U10" s="271"/>
      <c r="V10" s="271"/>
      <c r="W10" s="271"/>
      <c r="X10" s="1310"/>
      <c r="Y10" s="271">
        <f>SUM('8.sz.m.szociális kiadások (2)'!I10:I15)</f>
        <v>0</v>
      </c>
      <c r="Z10" s="271">
        <f>SUM('8.sz.m.szociális kiadások (2)'!J10:J15)</f>
        <v>2250000</v>
      </c>
      <c r="AB10" s="784"/>
    </row>
    <row r="11" spans="1:28" s="4" customFormat="1" ht="22.5" customHeight="1">
      <c r="A11" s="43"/>
      <c r="B11" s="52" t="s">
        <v>50</v>
      </c>
      <c r="C11" s="52"/>
      <c r="D11" s="269" t="s">
        <v>83</v>
      </c>
      <c r="E11" s="271">
        <f>SUM(E12:E16)</f>
        <v>160213102</v>
      </c>
      <c r="F11" s="271">
        <f>SUM(F12:F16)</f>
        <v>159773553</v>
      </c>
      <c r="G11" s="271">
        <f>SUM(G12:G16)</f>
        <v>157018113</v>
      </c>
      <c r="H11" s="271">
        <f>SUM(H12:H16)</f>
        <v>148370329</v>
      </c>
      <c r="I11" s="271">
        <f>SUM(I12:I16)</f>
        <v>148370329</v>
      </c>
      <c r="J11" s="1310">
        <f t="shared" si="2"/>
        <v>1</v>
      </c>
      <c r="K11" s="667">
        <f>I11/H11</f>
        <v>1</v>
      </c>
      <c r="L11" s="271">
        <f aca="true" t="shared" si="6" ref="L11:R11">E11-S11</f>
        <v>146860243</v>
      </c>
      <c r="M11" s="271">
        <f t="shared" si="6"/>
        <v>146860243</v>
      </c>
      <c r="N11" s="271">
        <f t="shared" si="6"/>
        <v>144074803</v>
      </c>
      <c r="O11" s="271">
        <f t="shared" si="6"/>
        <v>136868943</v>
      </c>
      <c r="P11" s="271">
        <f t="shared" si="6"/>
        <v>136868943</v>
      </c>
      <c r="Q11" s="1310">
        <f t="shared" si="4"/>
        <v>1</v>
      </c>
      <c r="R11" s="271">
        <f t="shared" si="6"/>
        <v>-5</v>
      </c>
      <c r="S11" s="271">
        <f aca="true" t="shared" si="7" ref="S11:Z11">SUM(S12:S16)</f>
        <v>13352859</v>
      </c>
      <c r="T11" s="271">
        <f t="shared" si="7"/>
        <v>12913310</v>
      </c>
      <c r="U11" s="271">
        <f t="shared" si="7"/>
        <v>12943310</v>
      </c>
      <c r="V11" s="271">
        <f>SUM(V12:V16)</f>
        <v>11501386</v>
      </c>
      <c r="W11" s="271">
        <f t="shared" si="7"/>
        <v>11501386</v>
      </c>
      <c r="X11" s="1310">
        <f t="shared" si="5"/>
        <v>1</v>
      </c>
      <c r="Y11" s="271">
        <f t="shared" si="7"/>
        <v>6</v>
      </c>
      <c r="Z11" s="271">
        <f t="shared" si="7"/>
        <v>9</v>
      </c>
      <c r="AB11" s="784"/>
    </row>
    <row r="12" spans="1:28" s="4" customFormat="1" ht="22.5" customHeight="1">
      <c r="A12" s="43"/>
      <c r="B12" s="73"/>
      <c r="C12" s="52" t="s">
        <v>82</v>
      </c>
      <c r="D12" s="268" t="s">
        <v>276</v>
      </c>
      <c r="E12" s="271"/>
      <c r="F12" s="271"/>
      <c r="G12" s="271"/>
      <c r="H12" s="271">
        <v>276452</v>
      </c>
      <c r="I12" s="271">
        <v>276452</v>
      </c>
      <c r="J12" s="1310">
        <f t="shared" si="2"/>
        <v>1</v>
      </c>
      <c r="K12" s="667"/>
      <c r="L12" s="276">
        <f aca="true" t="shared" si="8" ref="L12:R12">E12</f>
        <v>0</v>
      </c>
      <c r="M12" s="276">
        <f t="shared" si="8"/>
        <v>0</v>
      </c>
      <c r="N12" s="276">
        <f t="shared" si="8"/>
        <v>0</v>
      </c>
      <c r="O12" s="276">
        <f t="shared" si="8"/>
        <v>276452</v>
      </c>
      <c r="P12" s="276">
        <f t="shared" si="8"/>
        <v>276452</v>
      </c>
      <c r="Q12" s="1310">
        <f t="shared" si="4"/>
        <v>1</v>
      </c>
      <c r="R12" s="276">
        <f t="shared" si="8"/>
        <v>0</v>
      </c>
      <c r="S12" s="271">
        <v>0</v>
      </c>
      <c r="T12" s="271">
        <v>0</v>
      </c>
      <c r="U12" s="271">
        <v>0</v>
      </c>
      <c r="V12" s="271">
        <v>0</v>
      </c>
      <c r="W12" s="271">
        <v>0</v>
      </c>
      <c r="X12" s="1310"/>
      <c r="Y12" s="271">
        <v>6</v>
      </c>
      <c r="Z12" s="271">
        <v>7</v>
      </c>
      <c r="AB12" s="784"/>
    </row>
    <row r="13" spans="1:28" s="4" customFormat="1" ht="31.5" customHeight="1">
      <c r="A13" s="43"/>
      <c r="B13" s="52"/>
      <c r="C13" s="52" t="s">
        <v>84</v>
      </c>
      <c r="D13" s="268" t="s">
        <v>277</v>
      </c>
      <c r="E13" s="271">
        <v>11281925</v>
      </c>
      <c r="F13" s="271">
        <v>10842376</v>
      </c>
      <c r="G13" s="271">
        <v>10872376</v>
      </c>
      <c r="H13" s="271">
        <v>9643450</v>
      </c>
      <c r="I13" s="271">
        <f>65000+9218450+360000</f>
        <v>9643450</v>
      </c>
      <c r="J13" s="1310">
        <f t="shared" si="2"/>
        <v>1</v>
      </c>
      <c r="K13" s="667"/>
      <c r="L13" s="271">
        <f>'9.sz.m.átadott pe (3)'!B61</f>
        <v>0</v>
      </c>
      <c r="M13" s="271">
        <f>'9.sz.m.átadott pe (3)'!C61</f>
        <v>0</v>
      </c>
      <c r="N13" s="271">
        <f>'9.sz.m.átadott pe (3)'!D61</f>
        <v>0</v>
      </c>
      <c r="O13" s="271">
        <f>'9.sz.m.átadott pe (3)'!E61</f>
        <v>0</v>
      </c>
      <c r="P13" s="271">
        <f>'9.sz.m.átadott pe (3)'!F61</f>
        <v>0</v>
      </c>
      <c r="Q13" s="1310"/>
      <c r="R13" s="271">
        <f>'9.sz.m.átadott pe (3)'!H61</f>
        <v>0</v>
      </c>
      <c r="S13" s="271">
        <f>'9.sz.m.átadott pe (3)'!I61</f>
        <v>11281925</v>
      </c>
      <c r="T13" s="271">
        <f>'9.sz.m.átadott pe (3)'!J61</f>
        <v>10842376</v>
      </c>
      <c r="U13" s="271">
        <f>'9.sz.m.átadott pe (3)'!K61</f>
        <v>10872376</v>
      </c>
      <c r="V13" s="271">
        <f>'9.sz.m.átadott pe (3)'!L61</f>
        <v>9643450</v>
      </c>
      <c r="W13" s="271">
        <f>'9.sz.m.átadott pe (3)'!M61</f>
        <v>9643450</v>
      </c>
      <c r="X13" s="1310">
        <f t="shared" si="5"/>
        <v>1</v>
      </c>
      <c r="Y13" s="271">
        <f>'9.sz.m.átadott pe (3)'!O61</f>
        <v>0</v>
      </c>
      <c r="Z13" s="271">
        <f>'9.sz.m.átadott pe (3)'!P61</f>
        <v>1</v>
      </c>
      <c r="AB13" s="784"/>
    </row>
    <row r="14" spans="1:28" s="4" customFormat="1" ht="36.75" customHeight="1" thickBot="1">
      <c r="A14" s="70"/>
      <c r="B14" s="71"/>
      <c r="C14" s="52" t="s">
        <v>85</v>
      </c>
      <c r="D14" s="268" t="s">
        <v>278</v>
      </c>
      <c r="E14" s="271">
        <v>148931177</v>
      </c>
      <c r="F14" s="271">
        <v>148931177</v>
      </c>
      <c r="G14" s="271">
        <v>146145737</v>
      </c>
      <c r="H14" s="271">
        <v>138450427</v>
      </c>
      <c r="I14" s="271">
        <f>136592491+1467936+390000</f>
        <v>138450427</v>
      </c>
      <c r="J14" s="1310">
        <f t="shared" si="2"/>
        <v>1</v>
      </c>
      <c r="K14" s="667"/>
      <c r="L14" s="271">
        <f>'9.sz.m.átadott pe (3)'!B89</f>
        <v>146860243</v>
      </c>
      <c r="M14" s="271">
        <f>'9.sz.m.átadott pe (3)'!C89</f>
        <v>146860243</v>
      </c>
      <c r="N14" s="271">
        <f>'9.sz.m.átadott pe (3)'!D89</f>
        <v>144074803</v>
      </c>
      <c r="O14" s="271">
        <f>'9.sz.m.átadott pe (3)'!E89</f>
        <v>136592491</v>
      </c>
      <c r="P14" s="271">
        <f>'9.sz.m.átadott pe (3)'!F89</f>
        <v>136592491</v>
      </c>
      <c r="Q14" s="1310">
        <f t="shared" si="4"/>
        <v>1</v>
      </c>
      <c r="R14" s="271">
        <f>'9.sz.m.átadott pe (3)'!H89</f>
        <v>1</v>
      </c>
      <c r="S14" s="271">
        <f>'9.sz.m.átadott pe (3)'!I89</f>
        <v>2070934</v>
      </c>
      <c r="T14" s="271">
        <f>'9.sz.m.átadott pe (3)'!J89</f>
        <v>2070934</v>
      </c>
      <c r="U14" s="271">
        <f>'9.sz.m.átadott pe (3)'!K89</f>
        <v>2070934</v>
      </c>
      <c r="V14" s="271">
        <f>'9.sz.m.átadott pe (3)'!L89</f>
        <v>1857936</v>
      </c>
      <c r="W14" s="271">
        <f>'9.sz.m.átadott pe (3)'!M89</f>
        <v>1857936</v>
      </c>
      <c r="X14" s="1310">
        <f t="shared" si="5"/>
        <v>1</v>
      </c>
      <c r="Y14" s="271">
        <f>'9.sz.m.átadott pe (3)'!O89</f>
        <v>0</v>
      </c>
      <c r="Z14" s="271">
        <f>'9.sz.m.átadott pe (3)'!P89</f>
        <v>1</v>
      </c>
      <c r="AB14" s="784"/>
    </row>
    <row r="15" spans="1:28" s="4" customFormat="1" ht="22.5" customHeight="1" hidden="1">
      <c r="A15" s="43"/>
      <c r="B15" s="52"/>
      <c r="C15" s="52" t="s">
        <v>88</v>
      </c>
      <c r="D15" s="268" t="s">
        <v>90</v>
      </c>
      <c r="E15" s="271"/>
      <c r="F15" s="271"/>
      <c r="G15" s="271"/>
      <c r="H15" s="271"/>
      <c r="I15" s="271"/>
      <c r="J15" s="1310" t="e">
        <f t="shared" si="2"/>
        <v>#DIV/0!</v>
      </c>
      <c r="K15" s="667" t="e">
        <f>I15/H15</f>
        <v>#DIV/0!</v>
      </c>
      <c r="L15" s="271"/>
      <c r="M15" s="271"/>
      <c r="N15" s="271"/>
      <c r="O15" s="271"/>
      <c r="P15" s="271"/>
      <c r="Q15" s="1310" t="e">
        <f t="shared" si="4"/>
        <v>#DIV/0!</v>
      </c>
      <c r="R15" s="271"/>
      <c r="S15" s="271"/>
      <c r="T15" s="271"/>
      <c r="U15" s="271"/>
      <c r="V15" s="271"/>
      <c r="W15" s="271"/>
      <c r="X15" s="1310" t="e">
        <f t="shared" si="5"/>
        <v>#DIV/0!</v>
      </c>
      <c r="Y15" s="271"/>
      <c r="Z15" s="271"/>
      <c r="AB15" s="784"/>
    </row>
    <row r="16" spans="1:28" s="4" customFormat="1" ht="22.5" customHeight="1" hidden="1" thickBot="1">
      <c r="A16" s="75"/>
      <c r="B16" s="66"/>
      <c r="C16" s="66" t="s">
        <v>89</v>
      </c>
      <c r="D16" s="270" t="s">
        <v>91</v>
      </c>
      <c r="E16" s="280"/>
      <c r="F16" s="280"/>
      <c r="G16" s="280"/>
      <c r="H16" s="280"/>
      <c r="I16" s="280"/>
      <c r="J16" s="1311" t="e">
        <f t="shared" si="2"/>
        <v>#DIV/0!</v>
      </c>
      <c r="K16" s="588" t="e">
        <f>I16/H16</f>
        <v>#DIV/0!</v>
      </c>
      <c r="L16" s="280"/>
      <c r="M16" s="280"/>
      <c r="N16" s="280"/>
      <c r="O16" s="280"/>
      <c r="P16" s="280"/>
      <c r="Q16" s="1311" t="e">
        <f t="shared" si="4"/>
        <v>#DIV/0!</v>
      </c>
      <c r="R16" s="280"/>
      <c r="S16" s="280"/>
      <c r="T16" s="280"/>
      <c r="U16" s="280"/>
      <c r="V16" s="280"/>
      <c r="W16" s="280"/>
      <c r="X16" s="1311" t="e">
        <f t="shared" si="5"/>
        <v>#DIV/0!</v>
      </c>
      <c r="Y16" s="280"/>
      <c r="Z16" s="280"/>
      <c r="AB16" s="784"/>
    </row>
    <row r="17" spans="1:26" s="4" customFormat="1" ht="22.5" customHeight="1" thickBot="1">
      <c r="A17" s="61" t="s">
        <v>28</v>
      </c>
      <c r="B17" s="1390" t="s">
        <v>92</v>
      </c>
      <c r="C17" s="1390"/>
      <c r="D17" s="1390"/>
      <c r="E17" s="275">
        <f>SUM(E18:E20)</f>
        <v>342142795</v>
      </c>
      <c r="F17" s="275">
        <f>SUM(F18:F20)</f>
        <v>393576434</v>
      </c>
      <c r="G17" s="275">
        <f>SUM(G18:G20)</f>
        <v>403977697</v>
      </c>
      <c r="H17" s="275">
        <f>SUM(H18:H20)</f>
        <v>401810565</v>
      </c>
      <c r="I17" s="275">
        <f>SUM(I18:I20)</f>
        <v>314631867</v>
      </c>
      <c r="J17" s="955">
        <f t="shared" si="2"/>
        <v>0.7830353266096923</v>
      </c>
      <c r="K17" s="585">
        <f>I17/H17</f>
        <v>0.7830353266096923</v>
      </c>
      <c r="L17" s="275">
        <f aca="true" t="shared" si="9" ref="L17:T17">SUM(L18:L20)</f>
        <v>330447247</v>
      </c>
      <c r="M17" s="275">
        <f t="shared" si="9"/>
        <v>379880886</v>
      </c>
      <c r="N17" s="275">
        <f>SUM(N18:N20)</f>
        <v>389645762</v>
      </c>
      <c r="O17" s="275">
        <f t="shared" si="9"/>
        <v>383185498</v>
      </c>
      <c r="P17" s="275">
        <f t="shared" si="9"/>
        <v>306278924</v>
      </c>
      <c r="Q17" s="955">
        <f t="shared" si="4"/>
        <v>0.799296752091594</v>
      </c>
      <c r="R17" s="275" t="e">
        <f t="shared" si="9"/>
        <v>#REF!</v>
      </c>
      <c r="S17" s="275">
        <f t="shared" si="9"/>
        <v>11695548</v>
      </c>
      <c r="T17" s="275">
        <f t="shared" si="9"/>
        <v>13695548</v>
      </c>
      <c r="U17" s="275">
        <f aca="true" t="shared" si="10" ref="U17:Z17">SUM(U18:U20)</f>
        <v>14331935</v>
      </c>
      <c r="V17" s="275">
        <f t="shared" si="10"/>
        <v>18625067</v>
      </c>
      <c r="W17" s="275">
        <f t="shared" si="10"/>
        <v>8352943</v>
      </c>
      <c r="X17" s="955">
        <f t="shared" si="5"/>
        <v>0.4484785477550228</v>
      </c>
      <c r="Y17" s="275">
        <f t="shared" si="10"/>
        <v>0.45</v>
      </c>
      <c r="Z17" s="275">
        <f t="shared" si="10"/>
        <v>0</v>
      </c>
    </row>
    <row r="18" spans="1:26" s="4" customFormat="1" ht="22.5" customHeight="1">
      <c r="A18" s="60"/>
      <c r="B18" s="65" t="s">
        <v>39</v>
      </c>
      <c r="C18" s="1397" t="s">
        <v>93</v>
      </c>
      <c r="D18" s="1397"/>
      <c r="E18" s="276">
        <v>98334473</v>
      </c>
      <c r="F18" s="276">
        <v>120483508</v>
      </c>
      <c r="G18" s="276">
        <v>120618001</v>
      </c>
      <c r="H18" s="276">
        <v>105452749</v>
      </c>
      <c r="I18" s="276">
        <v>87861565</v>
      </c>
      <c r="J18" s="1312">
        <f t="shared" si="2"/>
        <v>0.8331842065112973</v>
      </c>
      <c r="K18" s="586"/>
      <c r="L18" s="276">
        <v>94138925</v>
      </c>
      <c r="M18" s="276">
        <v>116287960</v>
      </c>
      <c r="N18" s="276">
        <v>116422453</v>
      </c>
      <c r="O18" s="276">
        <f>+'6.a.sz.m.fejlesztés (4)'!G23-'6.a.sz.m.fejlesztés (4)'!G13</f>
        <v>101257201</v>
      </c>
      <c r="P18" s="276">
        <f>+'6.a.sz.m.fejlesztés (4)'!J23-'6.a.sz.m.fejlesztés (4)'!J13</f>
        <v>86895009</v>
      </c>
      <c r="Q18" s="1312">
        <f t="shared" si="4"/>
        <v>0.8581612778334649</v>
      </c>
      <c r="R18" s="276" t="e">
        <f>#REF!</f>
        <v>#REF!</v>
      </c>
      <c r="S18" s="276">
        <v>4195548</v>
      </c>
      <c r="T18" s="276">
        <v>4195548</v>
      </c>
      <c r="U18" s="276">
        <v>4195548</v>
      </c>
      <c r="V18" s="276">
        <f>+'6.a.sz.m.fejlesztés (4)'!G13</f>
        <v>4195548</v>
      </c>
      <c r="W18" s="276">
        <f>+'6.a.sz.m.fejlesztés (4)'!J13</f>
        <v>966556</v>
      </c>
      <c r="X18" s="1312">
        <f t="shared" si="5"/>
        <v>0.2303765801273159</v>
      </c>
      <c r="Y18" s="276">
        <v>0</v>
      </c>
      <c r="Z18" s="276">
        <v>0</v>
      </c>
    </row>
    <row r="19" spans="1:26" s="4" customFormat="1" ht="22.5" customHeight="1">
      <c r="A19" s="43"/>
      <c r="B19" s="52" t="s">
        <v>40</v>
      </c>
      <c r="C19" s="1388" t="s">
        <v>94</v>
      </c>
      <c r="D19" s="1388"/>
      <c r="E19" s="271">
        <v>236308322</v>
      </c>
      <c r="F19" s="271">
        <v>263592926</v>
      </c>
      <c r="G19" s="271">
        <v>273223309</v>
      </c>
      <c r="H19" s="271">
        <v>286221429</v>
      </c>
      <c r="I19" s="271">
        <v>219383915</v>
      </c>
      <c r="J19" s="1310">
        <f t="shared" si="2"/>
        <v>0.7664831936814905</v>
      </c>
      <c r="K19" s="667"/>
      <c r="L19" s="271">
        <v>236308322</v>
      </c>
      <c r="M19" s="271">
        <v>263592926</v>
      </c>
      <c r="N19" s="271">
        <v>273223309</v>
      </c>
      <c r="O19" s="271">
        <f>+'6.a.sz.m.fejlesztés (4)'!G47-'6.a.sz.m.fejlesztés (4)'!G38</f>
        <v>281928297</v>
      </c>
      <c r="P19" s="271">
        <f>+'6.a.sz.m.fejlesztés (4)'!J47-'6.a.sz.m.fejlesztés (4)'!J38</f>
        <v>219383915</v>
      </c>
      <c r="Q19" s="1310">
        <f t="shared" si="4"/>
        <v>0.7781550037171331</v>
      </c>
      <c r="R19" s="271" t="e">
        <f>#REF!</f>
        <v>#REF!</v>
      </c>
      <c r="S19" s="271">
        <v>0</v>
      </c>
      <c r="T19" s="271">
        <v>0</v>
      </c>
      <c r="U19" s="271">
        <v>0</v>
      </c>
      <c r="V19" s="271">
        <f>+'6.a.sz.m.fejlesztés (4)'!G38</f>
        <v>4293132</v>
      </c>
      <c r="W19" s="271">
        <f>+'6.a.sz.m.fejlesztés (4)'!H38</f>
        <v>0</v>
      </c>
      <c r="X19" s="1310">
        <f t="shared" si="5"/>
        <v>0</v>
      </c>
      <c r="Y19" s="271">
        <v>0</v>
      </c>
      <c r="Z19" s="271">
        <v>0</v>
      </c>
    </row>
    <row r="20" spans="1:26" s="4" customFormat="1" ht="22.5" customHeight="1">
      <c r="A20" s="72"/>
      <c r="B20" s="52" t="s">
        <v>41</v>
      </c>
      <c r="C20" s="1360" t="s">
        <v>95</v>
      </c>
      <c r="D20" s="1360"/>
      <c r="E20" s="271">
        <f>SUM(E21:E24)</f>
        <v>7500000</v>
      </c>
      <c r="F20" s="271">
        <f>SUM(F21:F24)</f>
        <v>9500000</v>
      </c>
      <c r="G20" s="271">
        <f>SUM(G21:G24)</f>
        <v>10136387</v>
      </c>
      <c r="H20" s="271">
        <f>SUM(H21:H24)</f>
        <v>10136387</v>
      </c>
      <c r="I20" s="271">
        <f>SUM(I21:I24)</f>
        <v>7386387</v>
      </c>
      <c r="J20" s="1310">
        <f t="shared" si="2"/>
        <v>0.7287001768973501</v>
      </c>
      <c r="K20" s="271">
        <f>SUM(K21:K24)</f>
        <v>0</v>
      </c>
      <c r="L20" s="271">
        <f>SUM(L21:L24)</f>
        <v>0</v>
      </c>
      <c r="M20" s="271">
        <f aca="true" t="shared" si="11" ref="M20:T20">SUM(M21:M24)</f>
        <v>0</v>
      </c>
      <c r="N20" s="271">
        <f>SUM(N21:N24)</f>
        <v>0</v>
      </c>
      <c r="O20" s="271">
        <f t="shared" si="11"/>
        <v>0</v>
      </c>
      <c r="P20" s="271">
        <f t="shared" si="11"/>
        <v>0</v>
      </c>
      <c r="Q20" s="1310"/>
      <c r="R20" s="271">
        <f t="shared" si="11"/>
        <v>-0.45</v>
      </c>
      <c r="S20" s="271">
        <f t="shared" si="11"/>
        <v>7500000</v>
      </c>
      <c r="T20" s="271">
        <f t="shared" si="11"/>
        <v>9500000</v>
      </c>
      <c r="U20" s="271">
        <f aca="true" t="shared" si="12" ref="U20:Z20">SUM(U21:U24)</f>
        <v>10136387</v>
      </c>
      <c r="V20" s="271">
        <f t="shared" si="12"/>
        <v>10136387</v>
      </c>
      <c r="W20" s="271">
        <f>SUM(W21:W24)</f>
        <v>7386387</v>
      </c>
      <c r="X20" s="1310">
        <f t="shared" si="5"/>
        <v>0.7287001768973501</v>
      </c>
      <c r="Y20" s="271">
        <f t="shared" si="12"/>
        <v>0.45</v>
      </c>
      <c r="Z20" s="271">
        <f t="shared" si="12"/>
        <v>0</v>
      </c>
    </row>
    <row r="21" spans="1:26" s="4" customFormat="1" ht="22.5" customHeight="1">
      <c r="A21" s="49"/>
      <c r="B21" s="53"/>
      <c r="C21" s="53" t="s">
        <v>96</v>
      </c>
      <c r="D21" s="188" t="s">
        <v>86</v>
      </c>
      <c r="E21" s="271">
        <v>7500000</v>
      </c>
      <c r="F21" s="271">
        <v>9500000</v>
      </c>
      <c r="G21" s="271">
        <v>10136387</v>
      </c>
      <c r="H21" s="271">
        <v>10136387</v>
      </c>
      <c r="I21" s="271">
        <v>7386387</v>
      </c>
      <c r="J21" s="1310">
        <f t="shared" si="2"/>
        <v>0.7287001768973501</v>
      </c>
      <c r="K21" s="667"/>
      <c r="L21" s="271">
        <f aca="true" t="shared" si="13" ref="L21:R21">E21-S21</f>
        <v>0</v>
      </c>
      <c r="M21" s="271">
        <f t="shared" si="13"/>
        <v>0</v>
      </c>
      <c r="N21" s="271">
        <f t="shared" si="13"/>
        <v>0</v>
      </c>
      <c r="O21" s="271">
        <f t="shared" si="13"/>
        <v>0</v>
      </c>
      <c r="P21" s="271">
        <f t="shared" si="13"/>
        <v>0</v>
      </c>
      <c r="Q21" s="1310"/>
      <c r="R21" s="271">
        <f t="shared" si="13"/>
        <v>-0.45</v>
      </c>
      <c r="S21" s="271">
        <f>'9.sz.m.átadott pe (3)'!V61</f>
        <v>7500000</v>
      </c>
      <c r="T21" s="271">
        <f>'9.sz.m.átadott pe (3)'!W61</f>
        <v>9500000</v>
      </c>
      <c r="U21" s="271">
        <f>'9.sz.m.átadott pe (3)'!X61</f>
        <v>10136387</v>
      </c>
      <c r="V21" s="271">
        <f>'9.sz.m.átadott pe (3)'!Y61</f>
        <v>10136387</v>
      </c>
      <c r="W21" s="271">
        <f>'9.sz.m.átadott pe (3)'!Z61</f>
        <v>7386387</v>
      </c>
      <c r="X21" s="1310">
        <f t="shared" si="5"/>
        <v>0.7287001768973501</v>
      </c>
      <c r="Y21" s="271">
        <f>'9.sz.m.átadott pe (3)'!AB61</f>
        <v>0.45</v>
      </c>
      <c r="Z21" s="271">
        <f>'9.sz.m.átadott pe (3)'!AC61</f>
        <v>0</v>
      </c>
    </row>
    <row r="22" spans="1:26" s="4" customFormat="1" ht="22.5" customHeight="1">
      <c r="A22" s="49"/>
      <c r="B22" s="53"/>
      <c r="C22" s="53" t="s">
        <v>97</v>
      </c>
      <c r="D22" s="188" t="s">
        <v>87</v>
      </c>
      <c r="E22" s="271"/>
      <c r="F22" s="271"/>
      <c r="G22" s="271"/>
      <c r="H22" s="271"/>
      <c r="I22" s="271"/>
      <c r="J22" s="1310"/>
      <c r="K22" s="667"/>
      <c r="L22" s="271">
        <v>0</v>
      </c>
      <c r="M22" s="271">
        <v>0</v>
      </c>
      <c r="N22" s="271">
        <v>0</v>
      </c>
      <c r="O22" s="271">
        <v>0</v>
      </c>
      <c r="P22" s="271">
        <v>0</v>
      </c>
      <c r="Q22" s="1310"/>
      <c r="R22" s="271">
        <v>0</v>
      </c>
      <c r="S22" s="271">
        <v>0</v>
      </c>
      <c r="T22" s="271">
        <v>0</v>
      </c>
      <c r="U22" s="271">
        <v>0</v>
      </c>
      <c r="V22" s="271">
        <v>0</v>
      </c>
      <c r="W22" s="271">
        <v>0</v>
      </c>
      <c r="X22" s="1310"/>
      <c r="Y22" s="271">
        <v>0</v>
      </c>
      <c r="Z22" s="271">
        <v>0</v>
      </c>
    </row>
    <row r="23" spans="1:26" s="4" customFormat="1" ht="36.75" customHeight="1">
      <c r="A23" s="72"/>
      <c r="B23" s="188"/>
      <c r="C23" s="53" t="s">
        <v>98</v>
      </c>
      <c r="D23" s="188" t="s">
        <v>472</v>
      </c>
      <c r="E23" s="271"/>
      <c r="F23" s="271"/>
      <c r="G23" s="271"/>
      <c r="H23" s="271"/>
      <c r="I23" s="271"/>
      <c r="J23" s="1310"/>
      <c r="K23" s="667"/>
      <c r="L23" s="271">
        <v>0</v>
      </c>
      <c r="M23" s="271">
        <v>0</v>
      </c>
      <c r="N23" s="271">
        <v>0</v>
      </c>
      <c r="O23" s="271">
        <v>0</v>
      </c>
      <c r="P23" s="271">
        <v>0</v>
      </c>
      <c r="Q23" s="1310"/>
      <c r="R23" s="271">
        <v>0</v>
      </c>
      <c r="S23" s="271">
        <v>0</v>
      </c>
      <c r="T23" s="271">
        <v>0</v>
      </c>
      <c r="U23" s="271">
        <v>0</v>
      </c>
      <c r="V23" s="271">
        <v>0</v>
      </c>
      <c r="W23" s="271">
        <v>0</v>
      </c>
      <c r="X23" s="1310"/>
      <c r="Y23" s="271">
        <v>0</v>
      </c>
      <c r="Z23" s="271">
        <v>0</v>
      </c>
    </row>
    <row r="24" spans="1:26" s="4" customFormat="1" ht="22.5" customHeight="1" thickBot="1">
      <c r="A24" s="210"/>
      <c r="B24" s="211"/>
      <c r="C24" s="212" t="s">
        <v>208</v>
      </c>
      <c r="D24" s="211" t="s">
        <v>209</v>
      </c>
      <c r="E24" s="305">
        <v>0</v>
      </c>
      <c r="F24" s="305">
        <v>0</v>
      </c>
      <c r="G24" s="305">
        <v>0</v>
      </c>
      <c r="H24" s="305">
        <v>0</v>
      </c>
      <c r="I24" s="305">
        <v>0</v>
      </c>
      <c r="J24" s="1313"/>
      <c r="K24" s="668"/>
      <c r="L24" s="305">
        <v>0</v>
      </c>
      <c r="M24" s="305">
        <v>0</v>
      </c>
      <c r="N24" s="305">
        <v>0</v>
      </c>
      <c r="O24" s="305">
        <v>0</v>
      </c>
      <c r="P24" s="305">
        <v>0</v>
      </c>
      <c r="Q24" s="1313"/>
      <c r="R24" s="305">
        <v>0</v>
      </c>
      <c r="S24" s="305">
        <v>0</v>
      </c>
      <c r="T24" s="305">
        <v>0</v>
      </c>
      <c r="U24" s="305">
        <v>0</v>
      </c>
      <c r="V24" s="305">
        <v>0</v>
      </c>
      <c r="W24" s="305">
        <v>0</v>
      </c>
      <c r="X24" s="1313"/>
      <c r="Y24" s="305">
        <v>0</v>
      </c>
      <c r="Z24" s="305">
        <v>0</v>
      </c>
    </row>
    <row r="25" spans="1:26" s="4" customFormat="1" ht="22.5" customHeight="1" thickBot="1">
      <c r="A25" s="61" t="s">
        <v>10</v>
      </c>
      <c r="B25" s="1390" t="s">
        <v>99</v>
      </c>
      <c r="C25" s="1390"/>
      <c r="D25" s="1390"/>
      <c r="E25" s="275">
        <f>SUM(E26:E28)</f>
        <v>41388231</v>
      </c>
      <c r="F25" s="275">
        <f>SUM(F26:F28)</f>
        <v>17607622</v>
      </c>
      <c r="G25" s="275">
        <f>SUM(G26:G28)</f>
        <v>4977707</v>
      </c>
      <c r="H25" s="275">
        <f>SUM(H26:H28)</f>
        <v>0</v>
      </c>
      <c r="I25" s="275">
        <f>SUM(I26:I28)</f>
        <v>0</v>
      </c>
      <c r="J25" s="955"/>
      <c r="K25" s="585" t="e">
        <f>I25/H25</f>
        <v>#DIV/0!</v>
      </c>
      <c r="L25" s="275">
        <f aca="true" t="shared" si="14" ref="L25:T25">SUM(L26:L28)</f>
        <v>41388231</v>
      </c>
      <c r="M25" s="275">
        <f t="shared" si="14"/>
        <v>17607622</v>
      </c>
      <c r="N25" s="275">
        <f>SUM(N26:N28)</f>
        <v>4977707</v>
      </c>
      <c r="O25" s="275">
        <f t="shared" si="14"/>
        <v>0</v>
      </c>
      <c r="P25" s="275">
        <f t="shared" si="14"/>
        <v>0</v>
      </c>
      <c r="Q25" s="955"/>
      <c r="R25" s="275">
        <f t="shared" si="14"/>
        <v>0</v>
      </c>
      <c r="S25" s="275">
        <f t="shared" si="14"/>
        <v>0</v>
      </c>
      <c r="T25" s="275">
        <f t="shared" si="14"/>
        <v>0</v>
      </c>
      <c r="U25" s="275">
        <f aca="true" t="shared" si="15" ref="U25:Z25">SUM(U26:U28)</f>
        <v>0</v>
      </c>
      <c r="V25" s="275">
        <f t="shared" si="15"/>
        <v>0</v>
      </c>
      <c r="W25" s="275">
        <f t="shared" si="15"/>
        <v>0</v>
      </c>
      <c r="X25" s="955"/>
      <c r="Y25" s="275">
        <f t="shared" si="15"/>
        <v>0</v>
      </c>
      <c r="Z25" s="275">
        <f t="shared" si="15"/>
        <v>0</v>
      </c>
    </row>
    <row r="26" spans="1:26" s="4" customFormat="1" ht="22.5" customHeight="1">
      <c r="A26" s="60"/>
      <c r="B26" s="65" t="s">
        <v>42</v>
      </c>
      <c r="C26" s="1397" t="s">
        <v>3</v>
      </c>
      <c r="D26" s="1397"/>
      <c r="E26" s="276">
        <v>41388231</v>
      </c>
      <c r="F26" s="276">
        <v>17607622</v>
      </c>
      <c r="G26" s="276">
        <v>4977707</v>
      </c>
      <c r="H26" s="276">
        <v>0</v>
      </c>
      <c r="I26" s="276">
        <v>0</v>
      </c>
      <c r="J26" s="1312"/>
      <c r="K26" s="586"/>
      <c r="L26" s="276">
        <f aca="true" t="shared" si="16" ref="L26:R26">E26</f>
        <v>41388231</v>
      </c>
      <c r="M26" s="276">
        <f t="shared" si="16"/>
        <v>17607622</v>
      </c>
      <c r="N26" s="276">
        <f t="shared" si="16"/>
        <v>4977707</v>
      </c>
      <c r="O26" s="276">
        <f t="shared" si="16"/>
        <v>0</v>
      </c>
      <c r="P26" s="276">
        <f t="shared" si="16"/>
        <v>0</v>
      </c>
      <c r="Q26" s="1312"/>
      <c r="R26" s="276">
        <f t="shared" si="16"/>
        <v>0</v>
      </c>
      <c r="S26" s="276">
        <v>0</v>
      </c>
      <c r="T26" s="276">
        <v>0</v>
      </c>
      <c r="U26" s="276">
        <v>0</v>
      </c>
      <c r="V26" s="276">
        <v>0</v>
      </c>
      <c r="W26" s="276">
        <v>0</v>
      </c>
      <c r="X26" s="1312"/>
      <c r="Y26" s="276">
        <v>0</v>
      </c>
      <c r="Z26" s="276">
        <v>0</v>
      </c>
    </row>
    <row r="27" spans="1:26" s="7" customFormat="1" ht="22.5" customHeight="1">
      <c r="A27" s="70"/>
      <c r="B27" s="52" t="s">
        <v>43</v>
      </c>
      <c r="C27" s="1406" t="s">
        <v>279</v>
      </c>
      <c r="D27" s="1406"/>
      <c r="E27" s="271">
        <v>0</v>
      </c>
      <c r="F27" s="271">
        <v>0</v>
      </c>
      <c r="G27" s="271">
        <v>0</v>
      </c>
      <c r="H27" s="271">
        <v>0</v>
      </c>
      <c r="I27" s="271">
        <v>0</v>
      </c>
      <c r="J27" s="1310"/>
      <c r="K27" s="667"/>
      <c r="L27" s="271">
        <v>0</v>
      </c>
      <c r="M27" s="271">
        <v>0</v>
      </c>
      <c r="N27" s="271">
        <v>0</v>
      </c>
      <c r="O27" s="271">
        <v>0</v>
      </c>
      <c r="P27" s="271">
        <v>0</v>
      </c>
      <c r="Q27" s="1310"/>
      <c r="R27" s="271">
        <v>0</v>
      </c>
      <c r="S27" s="271">
        <v>0</v>
      </c>
      <c r="T27" s="271">
        <v>0</v>
      </c>
      <c r="U27" s="271">
        <v>0</v>
      </c>
      <c r="V27" s="271">
        <v>0</v>
      </c>
      <c r="W27" s="271">
        <v>0</v>
      </c>
      <c r="X27" s="1310"/>
      <c r="Y27" s="271">
        <v>0</v>
      </c>
      <c r="Z27" s="271">
        <v>0</v>
      </c>
    </row>
    <row r="28" spans="1:26" s="7" customFormat="1" ht="22.5" customHeight="1" thickBot="1">
      <c r="A28" s="76"/>
      <c r="B28" s="66" t="s">
        <v>67</v>
      </c>
      <c r="C28" s="77" t="s">
        <v>100</v>
      </c>
      <c r="D28" s="77"/>
      <c r="E28" s="280">
        <v>0</v>
      </c>
      <c r="F28" s="280">
        <v>0</v>
      </c>
      <c r="G28" s="280">
        <v>0</v>
      </c>
      <c r="H28" s="280">
        <v>0</v>
      </c>
      <c r="I28" s="280">
        <v>0</v>
      </c>
      <c r="J28" s="1311"/>
      <c r="K28" s="588"/>
      <c r="L28" s="280">
        <v>0</v>
      </c>
      <c r="M28" s="280">
        <v>0</v>
      </c>
      <c r="N28" s="280">
        <v>0</v>
      </c>
      <c r="O28" s="280">
        <v>0</v>
      </c>
      <c r="P28" s="280">
        <v>0</v>
      </c>
      <c r="Q28" s="1311"/>
      <c r="R28" s="280">
        <v>0</v>
      </c>
      <c r="S28" s="280">
        <v>0</v>
      </c>
      <c r="T28" s="280">
        <v>0</v>
      </c>
      <c r="U28" s="280">
        <v>0</v>
      </c>
      <c r="V28" s="280">
        <v>0</v>
      </c>
      <c r="W28" s="280">
        <v>0</v>
      </c>
      <c r="X28" s="1311"/>
      <c r="Y28" s="280">
        <v>0</v>
      </c>
      <c r="Z28" s="280">
        <v>0</v>
      </c>
    </row>
    <row r="29" spans="1:26" s="36" customFormat="1" ht="22.5" customHeight="1" thickBot="1">
      <c r="A29" s="40" t="s">
        <v>11</v>
      </c>
      <c r="B29" s="67" t="s">
        <v>101</v>
      </c>
      <c r="C29" s="67"/>
      <c r="D29" s="67"/>
      <c r="E29" s="277">
        <v>0</v>
      </c>
      <c r="F29" s="277">
        <v>0</v>
      </c>
      <c r="G29" s="277">
        <v>0</v>
      </c>
      <c r="H29" s="277">
        <v>0</v>
      </c>
      <c r="I29" s="277">
        <v>0</v>
      </c>
      <c r="J29" s="1314"/>
      <c r="K29" s="587"/>
      <c r="L29" s="277">
        <v>0</v>
      </c>
      <c r="M29" s="277">
        <v>0</v>
      </c>
      <c r="N29" s="277">
        <v>0</v>
      </c>
      <c r="O29" s="277">
        <v>0</v>
      </c>
      <c r="P29" s="277">
        <v>0</v>
      </c>
      <c r="Q29" s="1314"/>
      <c r="R29" s="277">
        <v>0</v>
      </c>
      <c r="S29" s="277">
        <v>0</v>
      </c>
      <c r="T29" s="277">
        <v>0</v>
      </c>
      <c r="U29" s="277">
        <v>0</v>
      </c>
      <c r="V29" s="277">
        <v>0</v>
      </c>
      <c r="W29" s="277">
        <v>0</v>
      </c>
      <c r="X29" s="1314"/>
      <c r="Y29" s="277">
        <v>0</v>
      </c>
      <c r="Z29" s="277">
        <v>0</v>
      </c>
    </row>
    <row r="30" spans="1:26" s="36" customFormat="1" ht="22.5" customHeight="1" hidden="1" thickBot="1">
      <c r="A30" s="61"/>
      <c r="B30" s="1390"/>
      <c r="C30" s="1390"/>
      <c r="D30" s="1390"/>
      <c r="E30" s="618"/>
      <c r="F30" s="618"/>
      <c r="G30" s="618"/>
      <c r="H30" s="618"/>
      <c r="I30" s="618"/>
      <c r="J30" s="1315" t="e">
        <f t="shared" si="2"/>
        <v>#DIV/0!</v>
      </c>
      <c r="K30" s="669"/>
      <c r="L30" s="618"/>
      <c r="M30" s="618"/>
      <c r="N30" s="618"/>
      <c r="O30" s="618"/>
      <c r="P30" s="618"/>
      <c r="Q30" s="1315" t="e">
        <f t="shared" si="4"/>
        <v>#DIV/0!</v>
      </c>
      <c r="R30" s="618"/>
      <c r="S30" s="618"/>
      <c r="T30" s="618"/>
      <c r="U30" s="618"/>
      <c r="V30" s="618"/>
      <c r="W30" s="618"/>
      <c r="X30" s="1315" t="e">
        <f t="shared" si="5"/>
        <v>#DIV/0!</v>
      </c>
      <c r="Y30" s="618"/>
      <c r="Z30" s="618"/>
    </row>
    <row r="31" spans="1:26" s="36" customFormat="1" ht="22.5" customHeight="1" thickBot="1">
      <c r="A31" s="61" t="s">
        <v>12</v>
      </c>
      <c r="B31" s="1378" t="s">
        <v>102</v>
      </c>
      <c r="C31" s="1378"/>
      <c r="D31" s="1378"/>
      <c r="E31" s="275">
        <f>E6+E17+E25+E29</f>
        <v>738758452</v>
      </c>
      <c r="F31" s="275">
        <f>F6+F17+F25+F29</f>
        <v>763816663</v>
      </c>
      <c r="G31" s="275">
        <f>G6+G17+G25+G29</f>
        <v>761855474</v>
      </c>
      <c r="H31" s="275">
        <f>H6+H17+H25+H29</f>
        <v>825235020</v>
      </c>
      <c r="I31" s="275">
        <f>I6+I17+I25+I29</f>
        <v>584319312</v>
      </c>
      <c r="J31" s="955">
        <f t="shared" si="2"/>
        <v>0.7080641245690228</v>
      </c>
      <c r="K31" s="585">
        <f>I31/H31</f>
        <v>0.7080641245690228</v>
      </c>
      <c r="L31" s="275">
        <f aca="true" t="shared" si="17" ref="L31:R31">L6+L17+L25</f>
        <v>625371664</v>
      </c>
      <c r="M31" s="275">
        <f t="shared" si="17"/>
        <v>648869423</v>
      </c>
      <c r="N31" s="275">
        <f>N6+N17+N25</f>
        <v>646241846</v>
      </c>
      <c r="O31" s="275">
        <f t="shared" si="17"/>
        <v>706797536</v>
      </c>
      <c r="P31" s="275">
        <f>P6+P17+P25</f>
        <v>551363531</v>
      </c>
      <c r="Q31" s="955">
        <f t="shared" si="4"/>
        <v>0.7800869455775805</v>
      </c>
      <c r="R31" s="275" t="e">
        <f t="shared" si="17"/>
        <v>#REF!</v>
      </c>
      <c r="S31" s="275">
        <f aca="true" t="shared" si="18" ref="S31:Z31">S6+S17+S25+S29+S35</f>
        <v>113386788</v>
      </c>
      <c r="T31" s="275">
        <f t="shared" si="18"/>
        <v>114947240</v>
      </c>
      <c r="U31" s="275">
        <f t="shared" si="18"/>
        <v>115613628</v>
      </c>
      <c r="V31" s="275">
        <f>V6+V17+V25+V29</f>
        <v>118437484</v>
      </c>
      <c r="W31" s="275">
        <f>W6+W17+W25+W29</f>
        <v>32955781</v>
      </c>
      <c r="X31" s="955">
        <f t="shared" si="5"/>
        <v>0.27825465289350454</v>
      </c>
      <c r="Y31" s="275">
        <f t="shared" si="18"/>
        <v>12.506846096921146</v>
      </c>
      <c r="Z31" s="275">
        <f t="shared" si="18"/>
        <v>2250016</v>
      </c>
    </row>
    <row r="32" spans="1:26" s="36" customFormat="1" ht="22.5" customHeight="1" thickBot="1">
      <c r="A32" s="40" t="s">
        <v>13</v>
      </c>
      <c r="B32" s="1389" t="s">
        <v>103</v>
      </c>
      <c r="C32" s="1389"/>
      <c r="D32" s="1389"/>
      <c r="E32" s="279">
        <f>SUM(E33:E36)</f>
        <v>250916043</v>
      </c>
      <c r="F32" s="279">
        <f>SUM(F33:F36)</f>
        <v>231112748</v>
      </c>
      <c r="G32" s="279">
        <f>SUM(G33:G36)</f>
        <v>238111095</v>
      </c>
      <c r="H32" s="279">
        <f>SUM(H33:H36)</f>
        <v>213985817</v>
      </c>
      <c r="I32" s="279">
        <f>SUM(I33:I36)</f>
        <v>213985817</v>
      </c>
      <c r="J32" s="1316">
        <f t="shared" si="2"/>
        <v>1</v>
      </c>
      <c r="K32" s="279">
        <f aca="true" t="shared" si="19" ref="K32:R32">SUM(K33:K36)</f>
        <v>0</v>
      </c>
      <c r="L32" s="279">
        <f t="shared" si="19"/>
        <v>250916043</v>
      </c>
      <c r="M32" s="279">
        <f t="shared" si="19"/>
        <v>231112748</v>
      </c>
      <c r="N32" s="279">
        <f>SUM(N33:N36)</f>
        <v>238111095</v>
      </c>
      <c r="O32" s="279">
        <f>SUM(O33:O36)</f>
        <v>208793542</v>
      </c>
      <c r="P32" s="279">
        <f>SUM(P33:P36)</f>
        <v>208793542</v>
      </c>
      <c r="Q32" s="1316">
        <f t="shared" si="4"/>
        <v>1</v>
      </c>
      <c r="R32" s="279">
        <f t="shared" si="19"/>
        <v>0</v>
      </c>
      <c r="S32" s="279">
        <f aca="true" t="shared" si="20" ref="S32:Z32">SUM(S33:S35)</f>
        <v>0</v>
      </c>
      <c r="T32" s="279">
        <f t="shared" si="20"/>
        <v>0</v>
      </c>
      <c r="U32" s="279">
        <f t="shared" si="20"/>
        <v>0</v>
      </c>
      <c r="V32" s="279">
        <f t="shared" si="20"/>
        <v>5192275</v>
      </c>
      <c r="W32" s="279">
        <f t="shared" si="20"/>
        <v>5192275</v>
      </c>
      <c r="X32" s="1316">
        <f t="shared" si="5"/>
        <v>1</v>
      </c>
      <c r="Y32" s="279">
        <f t="shared" si="20"/>
        <v>6</v>
      </c>
      <c r="Z32" s="279">
        <f t="shared" si="20"/>
        <v>7</v>
      </c>
    </row>
    <row r="33" spans="1:26" s="4" customFormat="1" ht="22.5" customHeight="1">
      <c r="A33" s="79"/>
      <c r="B33" s="65" t="s">
        <v>46</v>
      </c>
      <c r="C33" s="1433" t="s">
        <v>281</v>
      </c>
      <c r="D33" s="1433"/>
      <c r="E33" s="276">
        <v>3023740</v>
      </c>
      <c r="F33" s="276">
        <v>3023740</v>
      </c>
      <c r="G33" s="276">
        <v>3023740</v>
      </c>
      <c r="H33" s="276">
        <v>3023740</v>
      </c>
      <c r="I33" s="276">
        <v>3023740</v>
      </c>
      <c r="J33" s="1312">
        <f t="shared" si="2"/>
        <v>1</v>
      </c>
      <c r="K33" s="586"/>
      <c r="L33" s="276">
        <f aca="true" t="shared" si="21" ref="L33:N36">E33</f>
        <v>3023740</v>
      </c>
      <c r="M33" s="276">
        <f t="shared" si="21"/>
        <v>3023740</v>
      </c>
      <c r="N33" s="276">
        <f t="shared" si="21"/>
        <v>3023740</v>
      </c>
      <c r="O33" s="276">
        <f aca="true" t="shared" si="22" ref="O33:R36">H33</f>
        <v>3023740</v>
      </c>
      <c r="P33" s="276">
        <f t="shared" si="22"/>
        <v>3023740</v>
      </c>
      <c r="Q33" s="1312">
        <f t="shared" si="4"/>
        <v>1</v>
      </c>
      <c r="R33" s="276">
        <f t="shared" si="22"/>
        <v>0</v>
      </c>
      <c r="S33" s="276"/>
      <c r="T33" s="276"/>
      <c r="U33" s="276"/>
      <c r="V33" s="276"/>
      <c r="W33" s="276"/>
      <c r="X33" s="1312"/>
      <c r="Y33" s="276"/>
      <c r="Z33" s="276"/>
    </row>
    <row r="34" spans="1:26" s="4" customFormat="1" ht="22.5" customHeight="1">
      <c r="A34" s="43"/>
      <c r="B34" s="52" t="s">
        <v>324</v>
      </c>
      <c r="C34" s="1388" t="s">
        <v>455</v>
      </c>
      <c r="D34" s="1388"/>
      <c r="E34" s="271">
        <v>29500000</v>
      </c>
      <c r="F34" s="271">
        <v>0</v>
      </c>
      <c r="G34" s="271">
        <v>0</v>
      </c>
      <c r="H34" s="271">
        <v>0</v>
      </c>
      <c r="I34" s="271">
        <v>0</v>
      </c>
      <c r="J34" s="1310"/>
      <c r="K34" s="667"/>
      <c r="L34" s="271">
        <f t="shared" si="21"/>
        <v>29500000</v>
      </c>
      <c r="M34" s="271">
        <f t="shared" si="21"/>
        <v>0</v>
      </c>
      <c r="N34" s="271">
        <f t="shared" si="21"/>
        <v>0</v>
      </c>
      <c r="O34" s="271">
        <f t="shared" si="22"/>
        <v>0</v>
      </c>
      <c r="P34" s="271">
        <f t="shared" si="22"/>
        <v>0</v>
      </c>
      <c r="Q34" s="1310"/>
      <c r="R34" s="271">
        <f t="shared" si="22"/>
        <v>0</v>
      </c>
      <c r="S34" s="271"/>
      <c r="T34" s="271"/>
      <c r="U34" s="271"/>
      <c r="V34" s="271"/>
      <c r="W34" s="271"/>
      <c r="X34" s="1310"/>
      <c r="Y34" s="271"/>
      <c r="Z34" s="271"/>
    </row>
    <row r="35" spans="1:26" s="4" customFormat="1" ht="37.5" customHeight="1" thickBot="1">
      <c r="A35" s="487"/>
      <c r="B35" s="488" t="s">
        <v>426</v>
      </c>
      <c r="C35" s="1431" t="s">
        <v>280</v>
      </c>
      <c r="D35" s="1432"/>
      <c r="E35" s="490">
        <v>208627923</v>
      </c>
      <c r="F35" s="490">
        <v>218324628</v>
      </c>
      <c r="G35" s="490">
        <v>225322975</v>
      </c>
      <c r="H35" s="490">
        <v>201197697</v>
      </c>
      <c r="I35" s="490">
        <v>201197697</v>
      </c>
      <c r="J35" s="1317">
        <f t="shared" si="2"/>
        <v>1</v>
      </c>
      <c r="K35" s="670"/>
      <c r="L35" s="490">
        <f t="shared" si="21"/>
        <v>208627923</v>
      </c>
      <c r="M35" s="490">
        <f t="shared" si="21"/>
        <v>218324628</v>
      </c>
      <c r="N35" s="490">
        <f t="shared" si="21"/>
        <v>225322975</v>
      </c>
      <c r="O35" s="490">
        <f>H35-V35</f>
        <v>196005422</v>
      </c>
      <c r="P35" s="490">
        <f>I35-W35</f>
        <v>196005422</v>
      </c>
      <c r="Q35" s="1317">
        <f t="shared" si="4"/>
        <v>1</v>
      </c>
      <c r="R35" s="490">
        <f t="shared" si="22"/>
        <v>0</v>
      </c>
      <c r="S35" s="490">
        <v>0</v>
      </c>
      <c r="T35" s="490">
        <v>0</v>
      </c>
      <c r="U35" s="490">
        <v>0</v>
      </c>
      <c r="V35" s="490">
        <f>+'5.1 sz. m Köz Hiv'!S27</f>
        <v>5192275</v>
      </c>
      <c r="W35" s="490">
        <f>+'5.1 sz. m Köz Hiv'!T27</f>
        <v>5192275</v>
      </c>
      <c r="X35" s="1317">
        <f t="shared" si="5"/>
        <v>1</v>
      </c>
      <c r="Y35" s="490">
        <v>6</v>
      </c>
      <c r="Z35" s="490">
        <v>7</v>
      </c>
    </row>
    <row r="36" spans="1:26" s="4" customFormat="1" ht="22.5" customHeight="1" thickBot="1">
      <c r="A36" s="487"/>
      <c r="B36" s="488" t="s">
        <v>453</v>
      </c>
      <c r="C36" s="489" t="s">
        <v>425</v>
      </c>
      <c r="D36" s="489"/>
      <c r="E36" s="490">
        <v>9764380</v>
      </c>
      <c r="F36" s="490">
        <v>9764380</v>
      </c>
      <c r="G36" s="490">
        <v>9764380</v>
      </c>
      <c r="H36" s="490">
        <v>9764380</v>
      </c>
      <c r="I36" s="490">
        <v>9764380</v>
      </c>
      <c r="J36" s="1317">
        <f t="shared" si="2"/>
        <v>1</v>
      </c>
      <c r="K36" s="670"/>
      <c r="L36" s="490">
        <f t="shared" si="21"/>
        <v>9764380</v>
      </c>
      <c r="M36" s="490">
        <f t="shared" si="21"/>
        <v>9764380</v>
      </c>
      <c r="N36" s="490">
        <f t="shared" si="21"/>
        <v>9764380</v>
      </c>
      <c r="O36" s="490">
        <f t="shared" si="22"/>
        <v>9764380</v>
      </c>
      <c r="P36" s="490">
        <f t="shared" si="22"/>
        <v>9764380</v>
      </c>
      <c r="Q36" s="1317">
        <f t="shared" si="4"/>
        <v>1</v>
      </c>
      <c r="R36" s="490">
        <f t="shared" si="22"/>
        <v>0</v>
      </c>
      <c r="S36" s="490"/>
      <c r="T36" s="490"/>
      <c r="U36" s="490"/>
      <c r="V36" s="490"/>
      <c r="W36" s="490"/>
      <c r="X36" s="1317"/>
      <c r="Y36" s="490"/>
      <c r="Z36" s="490"/>
    </row>
    <row r="37" spans="1:26" s="4" customFormat="1" ht="22.5" customHeight="1" thickBot="1">
      <c r="A37" s="61" t="s">
        <v>454</v>
      </c>
      <c r="B37" s="1378" t="s">
        <v>237</v>
      </c>
      <c r="C37" s="1378"/>
      <c r="D37" s="1378"/>
      <c r="E37" s="275">
        <f>E31+E32</f>
        <v>989674495</v>
      </c>
      <c r="F37" s="275">
        <f>F31+F32</f>
        <v>994929411</v>
      </c>
      <c r="G37" s="275">
        <f>G31+G32</f>
        <v>999966569</v>
      </c>
      <c r="H37" s="275">
        <f>H31+H32</f>
        <v>1039220837</v>
      </c>
      <c r="I37" s="275">
        <f>I31+I32</f>
        <v>798305129</v>
      </c>
      <c r="J37" s="955">
        <f t="shared" si="2"/>
        <v>0.7681765997923308</v>
      </c>
      <c r="K37" s="585">
        <f>I37/H37</f>
        <v>0.7681765997923308</v>
      </c>
      <c r="L37" s="275">
        <f aca="true" t="shared" si="23" ref="L37:T37">L31+L32</f>
        <v>876287707</v>
      </c>
      <c r="M37" s="275">
        <f t="shared" si="23"/>
        <v>879982171</v>
      </c>
      <c r="N37" s="275">
        <f>N31+N32</f>
        <v>884352941</v>
      </c>
      <c r="O37" s="275">
        <f t="shared" si="23"/>
        <v>915591078</v>
      </c>
      <c r="P37" s="275">
        <f t="shared" si="23"/>
        <v>760157073</v>
      </c>
      <c r="Q37" s="955">
        <f t="shared" si="4"/>
        <v>0.8302364355280447</v>
      </c>
      <c r="R37" s="275" t="e">
        <f t="shared" si="23"/>
        <v>#REF!</v>
      </c>
      <c r="S37" s="275">
        <f t="shared" si="23"/>
        <v>113386788</v>
      </c>
      <c r="T37" s="275">
        <f t="shared" si="23"/>
        <v>114947240</v>
      </c>
      <c r="U37" s="275">
        <f aca="true" t="shared" si="24" ref="U37:Z37">U31+U32</f>
        <v>115613628</v>
      </c>
      <c r="V37" s="275">
        <f>V31+V32</f>
        <v>123629759</v>
      </c>
      <c r="W37" s="275">
        <f t="shared" si="24"/>
        <v>38148056</v>
      </c>
      <c r="X37" s="955">
        <f t="shared" si="5"/>
        <v>0.30856693654154904</v>
      </c>
      <c r="Y37" s="275">
        <f t="shared" si="24"/>
        <v>18.506846096921144</v>
      </c>
      <c r="Z37" s="275">
        <f t="shared" si="24"/>
        <v>2250023</v>
      </c>
    </row>
    <row r="38" spans="1:26" s="4" customFormat="1" ht="19.5" customHeight="1" hidden="1" thickBot="1">
      <c r="A38" s="1364" t="s">
        <v>238</v>
      </c>
      <c r="B38" s="1365"/>
      <c r="C38" s="1365"/>
      <c r="D38" s="1365"/>
      <c r="E38" s="435"/>
      <c r="F38" s="435"/>
      <c r="G38" s="435"/>
      <c r="H38" s="435"/>
      <c r="I38" s="435"/>
      <c r="J38" s="1318" t="e">
        <f t="shared" si="2"/>
        <v>#DIV/0!</v>
      </c>
      <c r="K38" s="437" t="e">
        <f>I38/H38</f>
        <v>#DIV/0!</v>
      </c>
      <c r="L38" s="435"/>
      <c r="M38" s="435"/>
      <c r="N38" s="435"/>
      <c r="O38" s="435"/>
      <c r="P38" s="435"/>
      <c r="Q38" s="1318" t="e">
        <f t="shared" si="4"/>
        <v>#DIV/0!</v>
      </c>
      <c r="R38" s="435"/>
      <c r="S38" s="435"/>
      <c r="T38" s="435"/>
      <c r="U38" s="435"/>
      <c r="V38" s="435"/>
      <c r="W38" s="435"/>
      <c r="X38" s="1318" t="e">
        <f t="shared" si="5"/>
        <v>#DIV/0!</v>
      </c>
      <c r="Y38" s="435"/>
      <c r="Z38" s="435"/>
    </row>
    <row r="39" spans="1:26" s="4" customFormat="1" ht="19.5" customHeight="1" thickBot="1">
      <c r="A39" s="1377" t="s">
        <v>8</v>
      </c>
      <c r="B39" s="1378"/>
      <c r="C39" s="1378"/>
      <c r="D39" s="1378"/>
      <c r="E39" s="306">
        <f>SUM(E37:E38)</f>
        <v>989674495</v>
      </c>
      <c r="F39" s="306">
        <f>SUM(F37:F38)</f>
        <v>994929411</v>
      </c>
      <c r="G39" s="306">
        <f>SUM(G37:G38)</f>
        <v>999966569</v>
      </c>
      <c r="H39" s="306">
        <f>SUM(H37:H38)</f>
        <v>1039220837</v>
      </c>
      <c r="I39" s="306">
        <f>SUM(I37:I38)</f>
        <v>798305129</v>
      </c>
      <c r="J39" s="1319">
        <f t="shared" si="2"/>
        <v>0.7681765997923308</v>
      </c>
      <c r="K39" s="308">
        <f>I39/H39</f>
        <v>0.7681765997923308</v>
      </c>
      <c r="L39" s="306">
        <f aca="true" t="shared" si="25" ref="L39:T39">SUM(L37:L38)</f>
        <v>876287707</v>
      </c>
      <c r="M39" s="306">
        <f t="shared" si="25"/>
        <v>879982171</v>
      </c>
      <c r="N39" s="306">
        <f>SUM(N37:N38)</f>
        <v>884352941</v>
      </c>
      <c r="O39" s="306">
        <f t="shared" si="25"/>
        <v>915591078</v>
      </c>
      <c r="P39" s="306">
        <f t="shared" si="25"/>
        <v>760157073</v>
      </c>
      <c r="Q39" s="1319">
        <f t="shared" si="4"/>
        <v>0.8302364355280447</v>
      </c>
      <c r="R39" s="306" t="e">
        <f t="shared" si="25"/>
        <v>#REF!</v>
      </c>
      <c r="S39" s="306">
        <f t="shared" si="25"/>
        <v>113386788</v>
      </c>
      <c r="T39" s="306">
        <f t="shared" si="25"/>
        <v>114947240</v>
      </c>
      <c r="U39" s="306">
        <f aca="true" t="shared" si="26" ref="U39:Z39">SUM(U37:U38)</f>
        <v>115613628</v>
      </c>
      <c r="V39" s="306">
        <f t="shared" si="26"/>
        <v>123629759</v>
      </c>
      <c r="W39" s="306">
        <f t="shared" si="26"/>
        <v>38148056</v>
      </c>
      <c r="X39" s="1319">
        <f t="shared" si="5"/>
        <v>0.30856693654154904</v>
      </c>
      <c r="Y39" s="306">
        <f t="shared" si="26"/>
        <v>18.506846096921144</v>
      </c>
      <c r="Z39" s="306">
        <f t="shared" si="26"/>
        <v>2250023</v>
      </c>
    </row>
    <row r="40" spans="1:26" s="4" customFormat="1" ht="19.5" customHeight="1">
      <c r="A40" s="347"/>
      <c r="B40" s="442"/>
      <c r="C40" s="347"/>
      <c r="D40" s="347"/>
      <c r="E40" s="443"/>
      <c r="F40" s="443"/>
      <c r="G40" s="443"/>
      <c r="H40" s="443"/>
      <c r="I40" s="443"/>
      <c r="J40" s="443"/>
      <c r="K40" s="443"/>
      <c r="L40" s="444"/>
      <c r="M40" s="444"/>
      <c r="N40" s="444"/>
      <c r="O40" s="444"/>
      <c r="P40" s="444"/>
      <c r="Q40" s="444"/>
      <c r="R40" s="444"/>
      <c r="S40" s="444"/>
      <c r="T40" s="444"/>
      <c r="U40" s="444"/>
      <c r="V40" s="444"/>
      <c r="W40" s="444"/>
      <c r="X40" s="444"/>
      <c r="Y40" s="444"/>
      <c r="Z40" s="444"/>
    </row>
    <row r="41" spans="1:26" s="4" customFormat="1" ht="19.5" customHeight="1">
      <c r="A41" s="29"/>
      <c r="B41" s="32"/>
      <c r="C41" s="32"/>
      <c r="D41" s="14"/>
      <c r="E41" s="5"/>
      <c r="F41" s="5"/>
      <c r="G41" s="5"/>
      <c r="H41" s="5"/>
      <c r="I41" s="5"/>
      <c r="J41" s="5"/>
      <c r="K41" s="5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5:22" ht="15.75">
      <c r="E42" s="751"/>
      <c r="F42" s="751"/>
      <c r="G42" s="751"/>
      <c r="H42" s="751"/>
      <c r="I42" s="751"/>
      <c r="J42" s="751"/>
      <c r="K42" s="3"/>
      <c r="V42" s="3"/>
    </row>
    <row r="43" spans="5:11" ht="15.75">
      <c r="E43" s="750" t="str">
        <f>IF(L39+S39=E39," ","HIBA-nincs egyenlőség")</f>
        <v> </v>
      </c>
      <c r="F43" s="750" t="str">
        <f>IF(M39+T39=F39," ","HIBA-nincs egyenlőség")</f>
        <v> </v>
      </c>
      <c r="G43" s="750"/>
      <c r="H43" s="750"/>
      <c r="I43" s="750"/>
      <c r="J43" s="750"/>
      <c r="K43" s="750"/>
    </row>
    <row r="44" spans="2:20" ht="15.75"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5.75"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15.75"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2:20" ht="15.75">
      <c r="B47" s="1"/>
      <c r="C47" s="1"/>
      <c r="D47" s="1"/>
      <c r="G47" s="3"/>
      <c r="L47" s="1"/>
      <c r="M47" s="1"/>
      <c r="N47" s="1"/>
      <c r="O47" s="1"/>
      <c r="P47" s="1"/>
      <c r="Q47" s="1"/>
      <c r="R47" s="1"/>
      <c r="S47" s="1"/>
      <c r="T47" s="1"/>
    </row>
    <row r="48" spans="2:20" ht="15.75"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15.75"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5.75"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</sheetData>
  <sheetProtection/>
  <mergeCells count="21">
    <mergeCell ref="E1:W1"/>
    <mergeCell ref="A2:S2"/>
    <mergeCell ref="B31:D31"/>
    <mergeCell ref="B32:D32"/>
    <mergeCell ref="B6:D6"/>
    <mergeCell ref="S4:Y4"/>
    <mergeCell ref="C26:D26"/>
    <mergeCell ref="B25:D25"/>
    <mergeCell ref="C19:D19"/>
    <mergeCell ref="A4:D4"/>
    <mergeCell ref="C20:D20"/>
    <mergeCell ref="C18:D18"/>
    <mergeCell ref="B17:D17"/>
    <mergeCell ref="C27:D27"/>
    <mergeCell ref="B37:D37"/>
    <mergeCell ref="C35:D35"/>
    <mergeCell ref="C34:D34"/>
    <mergeCell ref="A39:D39"/>
    <mergeCell ref="B30:D30"/>
    <mergeCell ref="A38:D38"/>
    <mergeCell ref="C33:D3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3"/>
  <sheetViews>
    <sheetView zoomScale="110" zoomScaleNormal="110" zoomScalePageLayoutView="0" workbookViewId="0" topLeftCell="H1">
      <selection activeCell="AA8" sqref="AA8"/>
    </sheetView>
  </sheetViews>
  <sheetFormatPr defaultColWidth="9.140625" defaultRowHeight="12.75"/>
  <cols>
    <col min="1" max="1" width="4.28125" style="156" customWidth="1"/>
    <col min="2" max="2" width="4.7109375" style="94" customWidth="1"/>
    <col min="3" max="3" width="45.421875" style="94" customWidth="1"/>
    <col min="4" max="4" width="11.140625" style="94" customWidth="1"/>
    <col min="5" max="5" width="10.57421875" style="94" hidden="1" customWidth="1"/>
    <col min="6" max="6" width="10.421875" style="94" hidden="1" customWidth="1"/>
    <col min="7" max="7" width="11.7109375" style="94" customWidth="1"/>
    <col min="8" max="8" width="12.421875" style="94" customWidth="1"/>
    <col min="9" max="9" width="10.140625" style="94" customWidth="1"/>
    <col min="10" max="10" width="9.8515625" style="94" hidden="1" customWidth="1"/>
    <col min="11" max="11" width="8.28125" style="94" hidden="1" customWidth="1"/>
    <col min="12" max="12" width="12.8515625" style="94" customWidth="1"/>
    <col min="13" max="13" width="11.00390625" style="94" hidden="1" customWidth="1"/>
    <col min="14" max="14" width="12.57421875" style="94" hidden="1" customWidth="1"/>
    <col min="15" max="15" width="10.140625" style="94" customWidth="1"/>
    <col min="16" max="17" width="10.28125" style="94" customWidth="1"/>
    <col min="18" max="18" width="9.8515625" style="94" hidden="1" customWidth="1"/>
    <col min="19" max="21" width="9.8515625" style="94" customWidth="1"/>
    <col min="22" max="22" width="13.140625" style="94" customWidth="1"/>
    <col min="23" max="23" width="9.140625" style="94" hidden="1" customWidth="1"/>
    <col min="24" max="24" width="9.421875" style="94" hidden="1" customWidth="1"/>
    <col min="25" max="25" width="10.00390625" style="94" customWidth="1"/>
    <col min="26" max="26" width="10.8515625" style="94" customWidth="1"/>
    <col min="27" max="27" width="10.00390625" style="94" customWidth="1"/>
    <col min="28" max="30" width="9.140625" style="94" hidden="1" customWidth="1"/>
    <col min="31" max="31" width="11.421875" style="94" bestFit="1" customWidth="1"/>
    <col min="32" max="32" width="12.421875" style="94" bestFit="1" customWidth="1"/>
    <col min="33" max="16384" width="9.140625" style="94" customWidth="1"/>
  </cols>
  <sheetData>
    <row r="1" spans="1:26" s="84" customFormat="1" ht="21" customHeight="1">
      <c r="A1" s="83"/>
      <c r="C1" s="1436" t="s">
        <v>650</v>
      </c>
      <c r="D1" s="1436"/>
      <c r="E1" s="1436"/>
      <c r="F1" s="1436"/>
      <c r="G1" s="1436"/>
      <c r="H1" s="1436"/>
      <c r="I1" s="1436"/>
      <c r="J1" s="1436"/>
      <c r="K1" s="1436"/>
      <c r="L1" s="1436"/>
      <c r="M1" s="1436"/>
      <c r="N1" s="1436"/>
      <c r="O1" s="1436"/>
      <c r="P1" s="1436"/>
      <c r="Q1" s="1436"/>
      <c r="R1" s="1436"/>
      <c r="S1" s="1436"/>
      <c r="T1" s="1436"/>
      <c r="U1" s="1436"/>
      <c r="V1" s="1436"/>
      <c r="W1" s="1436"/>
      <c r="X1" s="1436"/>
      <c r="Y1" s="1436"/>
      <c r="Z1" s="1436"/>
    </row>
    <row r="2" spans="1:11" s="84" customFormat="1" ht="21" customHeight="1">
      <c r="A2" s="83"/>
      <c r="C2" s="88"/>
      <c r="D2" s="87"/>
      <c r="E2" s="87"/>
      <c r="F2" s="87"/>
      <c r="G2" s="87"/>
      <c r="H2" s="87"/>
      <c r="I2" s="87"/>
      <c r="J2" s="87"/>
      <c r="K2" s="87"/>
    </row>
    <row r="3" spans="1:22" s="89" customFormat="1" ht="25.5" customHeight="1">
      <c r="A3" s="1439" t="s">
        <v>219</v>
      </c>
      <c r="B3" s="1439"/>
      <c r="C3" s="1439"/>
      <c r="D3" s="1439"/>
      <c r="E3" s="1439"/>
      <c r="F3" s="1439"/>
      <c r="G3" s="1439"/>
      <c r="H3" s="1439"/>
      <c r="I3" s="1439"/>
      <c r="J3" s="1439"/>
      <c r="K3" s="1439"/>
      <c r="L3" s="1439"/>
      <c r="M3" s="1439"/>
      <c r="N3" s="1439"/>
      <c r="O3" s="1439"/>
      <c r="P3" s="1439"/>
      <c r="Q3" s="1439"/>
      <c r="R3" s="1439"/>
      <c r="S3" s="1439"/>
      <c r="T3" s="1439"/>
      <c r="U3" s="1439"/>
      <c r="V3" s="1439"/>
    </row>
    <row r="4" spans="1:22" s="92" customFormat="1" ht="15.75" customHeight="1" thickBot="1">
      <c r="A4" s="90"/>
      <c r="B4" s="90"/>
      <c r="C4" s="90"/>
      <c r="V4" s="91" t="s">
        <v>441</v>
      </c>
    </row>
    <row r="5" spans="1:29" ht="36.75" customHeight="1" thickBot="1">
      <c r="A5" s="1437" t="s">
        <v>107</v>
      </c>
      <c r="B5" s="1438"/>
      <c r="C5" s="93" t="s">
        <v>108</v>
      </c>
      <c r="D5" s="1441" t="s">
        <v>5</v>
      </c>
      <c r="E5" s="1442"/>
      <c r="F5" s="1442"/>
      <c r="G5" s="1442"/>
      <c r="H5" s="1442"/>
      <c r="I5" s="1442"/>
      <c r="J5" s="1442"/>
      <c r="K5" s="1442"/>
      <c r="L5" s="1443" t="s">
        <v>105</v>
      </c>
      <c r="M5" s="1444"/>
      <c r="N5" s="1444"/>
      <c r="O5" s="1444"/>
      <c r="P5" s="1444"/>
      <c r="Q5" s="1441"/>
      <c r="R5" s="1441"/>
      <c r="S5" s="1437" t="s">
        <v>366</v>
      </c>
      <c r="T5" s="1442"/>
      <c r="U5" s="1446"/>
      <c r="V5" s="1443" t="s">
        <v>153</v>
      </c>
      <c r="W5" s="1444"/>
      <c r="X5" s="1444"/>
      <c r="Y5" s="1444"/>
      <c r="Z5" s="1444"/>
      <c r="AA5" s="1444"/>
      <c r="AB5" s="1444"/>
      <c r="AC5" s="1445"/>
    </row>
    <row r="6" spans="1:30" ht="13.5" thickBot="1">
      <c r="A6" s="240"/>
      <c r="B6" s="241"/>
      <c r="C6" s="93"/>
      <c r="D6" s="93" t="s">
        <v>229</v>
      </c>
      <c r="E6" s="93" t="s">
        <v>227</v>
      </c>
      <c r="F6" s="93" t="s">
        <v>230</v>
      </c>
      <c r="G6" s="93" t="s">
        <v>232</v>
      </c>
      <c r="H6" s="93" t="s">
        <v>235</v>
      </c>
      <c r="I6" s="93" t="s">
        <v>236</v>
      </c>
      <c r="J6" s="93" t="s">
        <v>349</v>
      </c>
      <c r="K6" s="349" t="s">
        <v>249</v>
      </c>
      <c r="L6" s="378" t="s">
        <v>229</v>
      </c>
      <c r="M6" s="93" t="s">
        <v>227</v>
      </c>
      <c r="N6" s="93" t="s">
        <v>230</v>
      </c>
      <c r="O6" s="93" t="s">
        <v>232</v>
      </c>
      <c r="P6" s="93" t="s">
        <v>235</v>
      </c>
      <c r="Q6" s="93" t="s">
        <v>236</v>
      </c>
      <c r="R6" s="388" t="s">
        <v>349</v>
      </c>
      <c r="S6" s="93" t="s">
        <v>232</v>
      </c>
      <c r="T6" s="93" t="s">
        <v>235</v>
      </c>
      <c r="U6" s="93" t="s">
        <v>236</v>
      </c>
      <c r="V6" s="348" t="s">
        <v>229</v>
      </c>
      <c r="W6" s="93" t="s">
        <v>227</v>
      </c>
      <c r="X6" s="93" t="s">
        <v>230</v>
      </c>
      <c r="Y6" s="93" t="s">
        <v>232</v>
      </c>
      <c r="Z6" s="93" t="s">
        <v>235</v>
      </c>
      <c r="AA6" s="93" t="s">
        <v>236</v>
      </c>
      <c r="AB6" s="93" t="s">
        <v>349</v>
      </c>
      <c r="AC6" s="349" t="s">
        <v>236</v>
      </c>
      <c r="AD6" s="93" t="s">
        <v>249</v>
      </c>
    </row>
    <row r="7" spans="1:30" s="98" customFormat="1" ht="12.75" customHeight="1" thickBot="1">
      <c r="A7" s="95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96">
        <v>7</v>
      </c>
      <c r="H7" s="96">
        <v>8</v>
      </c>
      <c r="I7" s="96">
        <v>9</v>
      </c>
      <c r="J7" s="96">
        <v>9</v>
      </c>
      <c r="K7" s="97"/>
      <c r="L7" s="95">
        <v>10</v>
      </c>
      <c r="M7" s="96">
        <v>9</v>
      </c>
      <c r="N7" s="96">
        <v>10</v>
      </c>
      <c r="O7" s="96">
        <v>11</v>
      </c>
      <c r="P7" s="96">
        <v>12</v>
      </c>
      <c r="Q7" s="233">
        <v>13</v>
      </c>
      <c r="R7" s="233">
        <v>15</v>
      </c>
      <c r="S7" s="96">
        <v>14</v>
      </c>
      <c r="T7" s="809">
        <v>15</v>
      </c>
      <c r="U7" s="809">
        <v>16</v>
      </c>
      <c r="V7" s="809">
        <v>17</v>
      </c>
      <c r="W7" s="96">
        <v>14</v>
      </c>
      <c r="X7" s="96">
        <v>15</v>
      </c>
      <c r="Y7" s="96">
        <v>18</v>
      </c>
      <c r="Z7" s="96">
        <v>19</v>
      </c>
      <c r="AA7" s="96">
        <v>20</v>
      </c>
      <c r="AB7" s="96">
        <v>21</v>
      </c>
      <c r="AC7" s="97"/>
      <c r="AD7" s="96"/>
    </row>
    <row r="8" spans="1:30" s="98" customFormat="1" ht="15.75" customHeight="1" thickBot="1">
      <c r="A8" s="99"/>
      <c r="B8" s="100"/>
      <c r="C8" s="100" t="s">
        <v>109</v>
      </c>
      <c r="D8" s="220"/>
      <c r="E8" s="220"/>
      <c r="F8" s="160"/>
      <c r="G8" s="160"/>
      <c r="H8" s="160"/>
      <c r="I8" s="160"/>
      <c r="J8" s="160"/>
      <c r="K8" s="221"/>
      <c r="L8" s="355"/>
      <c r="M8" s="220"/>
      <c r="N8" s="160"/>
      <c r="O8" s="160"/>
      <c r="P8" s="160"/>
      <c r="Q8" s="234"/>
      <c r="R8" s="234"/>
      <c r="S8" s="160"/>
      <c r="T8" s="220"/>
      <c r="U8" s="220"/>
      <c r="V8" s="220"/>
      <c r="W8" s="355"/>
      <c r="X8" s="160"/>
      <c r="Y8" s="160"/>
      <c r="Z8" s="160"/>
      <c r="AA8" s="160"/>
      <c r="AB8" s="160"/>
      <c r="AC8" s="221"/>
      <c r="AD8" s="160"/>
    </row>
    <row r="9" spans="1:30" s="104" customFormat="1" ht="12" customHeight="1" thickBot="1">
      <c r="A9" s="95" t="s">
        <v>27</v>
      </c>
      <c r="B9" s="101"/>
      <c r="C9" s="102" t="s">
        <v>336</v>
      </c>
      <c r="D9" s="161"/>
      <c r="E9" s="161">
        <f>+E12+E13</f>
        <v>22618</v>
      </c>
      <c r="F9" s="161">
        <f>+F12+F13</f>
        <v>30495</v>
      </c>
      <c r="G9" s="161">
        <f>+G12+G13</f>
        <v>470897</v>
      </c>
      <c r="H9" s="161">
        <f>+H12+H13</f>
        <v>470897</v>
      </c>
      <c r="I9" s="894">
        <f>+H9/G9</f>
        <v>1</v>
      </c>
      <c r="J9" s="161">
        <f>SUM(J10:J13)</f>
        <v>0</v>
      </c>
      <c r="K9" s="161">
        <f>SUM(K10:K13)</f>
        <v>0</v>
      </c>
      <c r="L9" s="161">
        <f>SUM(L10:L13)</f>
        <v>0</v>
      </c>
      <c r="M9" s="161">
        <f>+M12+M13</f>
        <v>22618</v>
      </c>
      <c r="N9" s="161">
        <f>+N12+N13</f>
        <v>30495</v>
      </c>
      <c r="O9" s="161">
        <f>+O12+O13</f>
        <v>470897</v>
      </c>
      <c r="P9" s="161">
        <f>+P12+P13</f>
        <v>470897</v>
      </c>
      <c r="Q9" s="894">
        <f>+P9/O9</f>
        <v>1</v>
      </c>
      <c r="R9" s="838"/>
      <c r="S9" s="161"/>
      <c r="T9" s="216"/>
      <c r="U9" s="216"/>
      <c r="V9" s="216"/>
      <c r="W9" s="356"/>
      <c r="X9" s="161"/>
      <c r="Y9" s="161"/>
      <c r="Z9" s="161"/>
      <c r="AA9" s="161"/>
      <c r="AB9" s="161"/>
      <c r="AC9" s="103"/>
      <c r="AD9" s="161"/>
    </row>
    <row r="10" spans="1:30" s="104" customFormat="1" ht="12" customHeight="1">
      <c r="A10" s="105"/>
      <c r="B10" s="116" t="s">
        <v>36</v>
      </c>
      <c r="C10" s="696" t="s">
        <v>459</v>
      </c>
      <c r="D10" s="697"/>
      <c r="E10" s="697"/>
      <c r="F10" s="697"/>
      <c r="G10" s="697"/>
      <c r="H10" s="697"/>
      <c r="I10" s="895"/>
      <c r="J10" s="698"/>
      <c r="K10" s="699"/>
      <c r="L10" s="700"/>
      <c r="M10" s="697"/>
      <c r="N10" s="697"/>
      <c r="O10" s="697"/>
      <c r="P10" s="697"/>
      <c r="Q10" s="895"/>
      <c r="R10" s="839"/>
      <c r="S10" s="697"/>
      <c r="T10" s="714"/>
      <c r="U10" s="714"/>
      <c r="V10" s="714"/>
      <c r="W10" s="700"/>
      <c r="X10" s="697"/>
      <c r="Y10" s="697"/>
      <c r="Z10" s="697"/>
      <c r="AA10" s="697"/>
      <c r="AB10" s="693"/>
      <c r="AC10" s="694"/>
      <c r="AD10" s="693"/>
    </row>
    <row r="11" spans="1:30" s="104" customFormat="1" ht="12" customHeight="1">
      <c r="A11" s="738"/>
      <c r="B11" s="106" t="s">
        <v>37</v>
      </c>
      <c r="C11" s="739" t="s">
        <v>478</v>
      </c>
      <c r="D11" s="740"/>
      <c r="E11" s="740"/>
      <c r="F11" s="740"/>
      <c r="G11" s="740"/>
      <c r="H11" s="740"/>
      <c r="I11" s="896"/>
      <c r="J11" s="775"/>
      <c r="K11" s="776"/>
      <c r="L11" s="777"/>
      <c r="M11" s="740"/>
      <c r="N11" s="740"/>
      <c r="O11" s="740"/>
      <c r="P11" s="740"/>
      <c r="Q11" s="896"/>
      <c r="R11" s="840"/>
      <c r="S11" s="740"/>
      <c r="T11" s="850"/>
      <c r="U11" s="850"/>
      <c r="V11" s="850"/>
      <c r="W11" s="741"/>
      <c r="X11" s="740"/>
      <c r="Y11" s="740"/>
      <c r="Z11" s="740"/>
      <c r="AA11" s="740"/>
      <c r="AB11" s="693"/>
      <c r="AC11" s="694"/>
      <c r="AD11" s="693"/>
    </row>
    <row r="12" spans="1:30" s="104" customFormat="1" ht="12" customHeight="1">
      <c r="A12" s="107"/>
      <c r="B12" s="106" t="s">
        <v>38</v>
      </c>
      <c r="C12" s="701" t="s">
        <v>310</v>
      </c>
      <c r="D12" s="702"/>
      <c r="E12" s="703">
        <v>20</v>
      </c>
      <c r="F12" s="703">
        <v>20</v>
      </c>
      <c r="G12" s="703">
        <v>20</v>
      </c>
      <c r="H12" s="703">
        <v>13</v>
      </c>
      <c r="I12" s="897">
        <f>+H12/G12</f>
        <v>0.65</v>
      </c>
      <c r="J12" s="401"/>
      <c r="K12" s="778"/>
      <c r="L12" s="726"/>
      <c r="M12" s="703">
        <v>20</v>
      </c>
      <c r="N12" s="703">
        <v>20</v>
      </c>
      <c r="O12" s="703">
        <v>20</v>
      </c>
      <c r="P12" s="703">
        <v>13</v>
      </c>
      <c r="Q12" s="897">
        <f>+P12/O12</f>
        <v>0.65</v>
      </c>
      <c r="R12" s="841"/>
      <c r="S12" s="703"/>
      <c r="T12" s="893"/>
      <c r="U12" s="893"/>
      <c r="V12" s="715"/>
      <c r="W12" s="706"/>
      <c r="X12" s="702"/>
      <c r="Y12" s="702"/>
      <c r="Z12" s="702"/>
      <c r="AA12" s="702"/>
      <c r="AB12" s="693"/>
      <c r="AC12" s="694"/>
      <c r="AD12" s="693"/>
    </row>
    <row r="13" spans="1:30" s="104" customFormat="1" ht="12" customHeight="1" thickBot="1">
      <c r="A13" s="707"/>
      <c r="B13" s="106" t="s">
        <v>49</v>
      </c>
      <c r="C13" s="708" t="s">
        <v>460</v>
      </c>
      <c r="D13" s="709"/>
      <c r="E13" s="710">
        <v>22598</v>
      </c>
      <c r="F13" s="710">
        <v>30475</v>
      </c>
      <c r="G13" s="710">
        <v>470877</v>
      </c>
      <c r="H13" s="710">
        <f>27470+443414</f>
        <v>470884</v>
      </c>
      <c r="I13" s="898">
        <f>+H13/G13</f>
        <v>1.0000148658779258</v>
      </c>
      <c r="J13" s="711"/>
      <c r="K13" s="712"/>
      <c r="L13" s="713"/>
      <c r="M13" s="710">
        <v>22598</v>
      </c>
      <c r="N13" s="710">
        <v>30475</v>
      </c>
      <c r="O13" s="710">
        <v>470877</v>
      </c>
      <c r="P13" s="710">
        <f>27470+443414</f>
        <v>470884</v>
      </c>
      <c r="Q13" s="898">
        <f>+P13/O13</f>
        <v>1.0000148658779258</v>
      </c>
      <c r="R13" s="842"/>
      <c r="S13" s="710"/>
      <c r="T13" s="780"/>
      <c r="U13" s="780"/>
      <c r="V13" s="721"/>
      <c r="W13" s="713"/>
      <c r="X13" s="709"/>
      <c r="Y13" s="709"/>
      <c r="Z13" s="709"/>
      <c r="AA13" s="709"/>
      <c r="AB13" s="693"/>
      <c r="AC13" s="694"/>
      <c r="AD13" s="693"/>
    </row>
    <row r="14" spans="1:30" s="110" customFormat="1" ht="12" customHeight="1" hidden="1" thickBot="1">
      <c r="A14" s="111" t="s">
        <v>28</v>
      </c>
      <c r="B14" s="106"/>
      <c r="C14" s="695" t="s">
        <v>115</v>
      </c>
      <c r="D14" s="171"/>
      <c r="E14" s="171"/>
      <c r="F14" s="171"/>
      <c r="G14" s="171"/>
      <c r="H14" s="171"/>
      <c r="I14" s="899" t="e">
        <f>+H14/G14</f>
        <v>#DIV/0!</v>
      </c>
      <c r="J14" s="591" t="e">
        <f>H14/F14</f>
        <v>#DIV/0!</v>
      </c>
      <c r="K14" s="222"/>
      <c r="L14" s="357"/>
      <c r="M14" s="171"/>
      <c r="N14" s="171"/>
      <c r="O14" s="171"/>
      <c r="P14" s="171"/>
      <c r="Q14" s="899" t="e">
        <f>+P14/O14</f>
        <v>#DIV/0!</v>
      </c>
      <c r="R14" s="843" t="e">
        <f>P14/N14</f>
        <v>#DIV/0!</v>
      </c>
      <c r="S14" s="171"/>
      <c r="T14" s="851"/>
      <c r="U14" s="851"/>
      <c r="V14" s="851"/>
      <c r="W14" s="357"/>
      <c r="X14" s="171"/>
      <c r="Y14" s="171"/>
      <c r="Z14" s="171"/>
      <c r="AA14" s="171"/>
      <c r="AB14" s="171"/>
      <c r="AC14" s="222"/>
      <c r="AD14" s="171"/>
    </row>
    <row r="15" spans="1:30" s="104" customFormat="1" ht="12" customHeight="1" thickBot="1">
      <c r="A15" s="95" t="s">
        <v>28</v>
      </c>
      <c r="B15" s="101"/>
      <c r="C15" s="102" t="s">
        <v>116</v>
      </c>
      <c r="D15" s="161">
        <f>SUM(D16:D19)</f>
        <v>0</v>
      </c>
      <c r="E15" s="161">
        <f>SUM(E16:E19)</f>
        <v>2712429</v>
      </c>
      <c r="F15" s="161">
        <f>SUM(F16:F19)</f>
        <v>2877470</v>
      </c>
      <c r="G15" s="161">
        <f>SUM(G16:G19)</f>
        <v>2877470</v>
      </c>
      <c r="H15" s="161">
        <f>SUM(H16:H19)</f>
        <v>2877470</v>
      </c>
      <c r="I15" s="894">
        <f>+H15/G15</f>
        <v>1</v>
      </c>
      <c r="J15" s="296"/>
      <c r="K15" s="103">
        <f aca="true" t="shared" si="0" ref="K15:P15">SUM(K16:K19)</f>
        <v>0</v>
      </c>
      <c r="L15" s="161">
        <f t="shared" si="0"/>
        <v>0</v>
      </c>
      <c r="M15" s="161">
        <f t="shared" si="0"/>
        <v>2712429</v>
      </c>
      <c r="N15" s="161">
        <f t="shared" si="0"/>
        <v>2877470</v>
      </c>
      <c r="O15" s="161">
        <f t="shared" si="0"/>
        <v>2877470</v>
      </c>
      <c r="P15" s="161">
        <f t="shared" si="0"/>
        <v>2877470</v>
      </c>
      <c r="Q15" s="894">
        <f>+P15/O15</f>
        <v>1</v>
      </c>
      <c r="R15" s="838"/>
      <c r="S15" s="161"/>
      <c r="T15" s="216"/>
      <c r="U15" s="216"/>
      <c r="V15" s="216"/>
      <c r="W15" s="356"/>
      <c r="X15" s="161"/>
      <c r="Y15" s="161"/>
      <c r="Z15" s="161"/>
      <c r="AA15" s="161"/>
      <c r="AB15" s="161"/>
      <c r="AC15" s="103"/>
      <c r="AD15" s="161"/>
    </row>
    <row r="16" spans="1:30" s="110" customFormat="1" ht="12" customHeight="1">
      <c r="A16" s="107"/>
      <c r="B16" s="106" t="s">
        <v>39</v>
      </c>
      <c r="C16" s="112" t="s">
        <v>72</v>
      </c>
      <c r="D16" s="162"/>
      <c r="E16" s="162">
        <v>2712429</v>
      </c>
      <c r="F16" s="162">
        <v>2877470</v>
      </c>
      <c r="G16" s="162">
        <v>2877470</v>
      </c>
      <c r="H16" s="162">
        <v>2877470</v>
      </c>
      <c r="I16" s="900">
        <f>+H16/G16</f>
        <v>1</v>
      </c>
      <c r="J16" s="592"/>
      <c r="K16" s="109"/>
      <c r="L16" s="162"/>
      <c r="M16" s="162">
        <v>2712429</v>
      </c>
      <c r="N16" s="162">
        <v>2877470</v>
      </c>
      <c r="O16" s="162">
        <v>2877470</v>
      </c>
      <c r="P16" s="162">
        <v>2877470</v>
      </c>
      <c r="Q16" s="900">
        <f>+P16/O16</f>
        <v>1</v>
      </c>
      <c r="R16" s="844"/>
      <c r="S16" s="162"/>
      <c r="T16" s="624"/>
      <c r="U16" s="624"/>
      <c r="V16" s="624"/>
      <c r="W16" s="358"/>
      <c r="X16" s="162"/>
      <c r="Y16" s="162"/>
      <c r="Z16" s="162"/>
      <c r="AA16" s="162"/>
      <c r="AB16" s="162"/>
      <c r="AC16" s="109"/>
      <c r="AD16" s="162"/>
    </row>
    <row r="17" spans="1:30" s="110" customFormat="1" ht="12" customHeight="1">
      <c r="A17" s="107"/>
      <c r="B17" s="106" t="s">
        <v>40</v>
      </c>
      <c r="C17" s="108" t="s">
        <v>119</v>
      </c>
      <c r="D17" s="162"/>
      <c r="E17" s="162"/>
      <c r="F17" s="162"/>
      <c r="G17" s="162"/>
      <c r="H17" s="162"/>
      <c r="I17" s="900"/>
      <c r="J17" s="592"/>
      <c r="K17" s="109"/>
      <c r="L17" s="162"/>
      <c r="M17" s="162"/>
      <c r="N17" s="162"/>
      <c r="O17" s="162"/>
      <c r="P17" s="162"/>
      <c r="Q17" s="900"/>
      <c r="R17" s="844"/>
      <c r="S17" s="162"/>
      <c r="T17" s="624"/>
      <c r="U17" s="624"/>
      <c r="V17" s="624"/>
      <c r="W17" s="358"/>
      <c r="X17" s="162"/>
      <c r="Y17" s="162"/>
      <c r="Z17" s="162"/>
      <c r="AA17" s="162"/>
      <c r="AB17" s="162"/>
      <c r="AC17" s="109"/>
      <c r="AD17" s="162"/>
    </row>
    <row r="18" spans="1:30" s="110" customFormat="1" ht="12" customHeight="1">
      <c r="A18" s="107"/>
      <c r="B18" s="106" t="s">
        <v>41</v>
      </c>
      <c r="C18" s="108" t="s">
        <v>73</v>
      </c>
      <c r="D18" s="162"/>
      <c r="E18" s="162"/>
      <c r="F18" s="162"/>
      <c r="G18" s="162"/>
      <c r="H18" s="162"/>
      <c r="I18" s="900"/>
      <c r="J18" s="592"/>
      <c r="K18" s="109"/>
      <c r="L18" s="162"/>
      <c r="M18" s="162"/>
      <c r="N18" s="162"/>
      <c r="O18" s="162"/>
      <c r="P18" s="162"/>
      <c r="Q18" s="900"/>
      <c r="R18" s="844"/>
      <c r="S18" s="162"/>
      <c r="T18" s="624"/>
      <c r="U18" s="624"/>
      <c r="V18" s="624"/>
      <c r="W18" s="358"/>
      <c r="X18" s="162"/>
      <c r="Y18" s="162"/>
      <c r="Z18" s="162"/>
      <c r="AA18" s="162"/>
      <c r="AB18" s="162"/>
      <c r="AC18" s="109"/>
      <c r="AD18" s="162"/>
    </row>
    <row r="19" spans="1:30" s="110" customFormat="1" ht="12" customHeight="1" thickBot="1">
      <c r="A19" s="107"/>
      <c r="B19" s="106" t="s">
        <v>271</v>
      </c>
      <c r="C19" s="108" t="s">
        <v>119</v>
      </c>
      <c r="D19" s="162"/>
      <c r="E19" s="162"/>
      <c r="F19" s="162"/>
      <c r="G19" s="162"/>
      <c r="H19" s="162"/>
      <c r="I19" s="900"/>
      <c r="J19" s="592"/>
      <c r="K19" s="109"/>
      <c r="L19" s="162"/>
      <c r="M19" s="162"/>
      <c r="N19" s="162"/>
      <c r="O19" s="162"/>
      <c r="P19" s="162"/>
      <c r="Q19" s="900"/>
      <c r="R19" s="844"/>
      <c r="S19" s="162"/>
      <c r="T19" s="624"/>
      <c r="U19" s="624"/>
      <c r="V19" s="624"/>
      <c r="W19" s="358"/>
      <c r="X19" s="162"/>
      <c r="Y19" s="162"/>
      <c r="Z19" s="162"/>
      <c r="AA19" s="162"/>
      <c r="AB19" s="162"/>
      <c r="AC19" s="109"/>
      <c r="AD19" s="162"/>
    </row>
    <row r="20" spans="1:30" s="110" customFormat="1" ht="12" customHeight="1" thickBot="1">
      <c r="A20" s="113" t="s">
        <v>10</v>
      </c>
      <c r="B20" s="114"/>
      <c r="C20" s="114" t="s">
        <v>122</v>
      </c>
      <c r="D20" s="161">
        <f>SUM(D21:D22)</f>
        <v>0</v>
      </c>
      <c r="E20" s="161">
        <f>SUM(E21:E22)</f>
        <v>0</v>
      </c>
      <c r="F20" s="161">
        <f>SUM(F21:F22)</f>
        <v>0</v>
      </c>
      <c r="G20" s="161">
        <f>SUM(G21:G22)</f>
        <v>0</v>
      </c>
      <c r="H20" s="161">
        <f>SUM(H21:H22)</f>
        <v>0</v>
      </c>
      <c r="I20" s="894"/>
      <c r="J20" s="296"/>
      <c r="K20" s="103"/>
      <c r="L20" s="161">
        <f>SUM(L21:L22)</f>
        <v>0</v>
      </c>
      <c r="M20" s="161">
        <f>SUM(M21:M22)</f>
        <v>0</v>
      </c>
      <c r="N20" s="161">
        <f>SUM(N21:N22)</f>
        <v>0</v>
      </c>
      <c r="O20" s="161">
        <f>SUM(O21:O22)</f>
        <v>0</v>
      </c>
      <c r="P20" s="161">
        <f>SUM(P21:P22)</f>
        <v>0</v>
      </c>
      <c r="Q20" s="894"/>
      <c r="R20" s="838"/>
      <c r="S20" s="161"/>
      <c r="T20" s="216"/>
      <c r="U20" s="216"/>
      <c r="V20" s="216"/>
      <c r="W20" s="356"/>
      <c r="X20" s="161"/>
      <c r="Y20" s="161"/>
      <c r="Z20" s="161"/>
      <c r="AA20" s="161"/>
      <c r="AB20" s="161"/>
      <c r="AC20" s="103"/>
      <c r="AD20" s="161"/>
    </row>
    <row r="21" spans="1:30" s="104" customFormat="1" ht="12" customHeight="1">
      <c r="A21" s="115"/>
      <c r="B21" s="116" t="s">
        <v>42</v>
      </c>
      <c r="C21" s="117" t="s">
        <v>124</v>
      </c>
      <c r="D21" s="163"/>
      <c r="E21" s="163"/>
      <c r="F21" s="163"/>
      <c r="G21" s="163"/>
      <c r="H21" s="163"/>
      <c r="I21" s="901"/>
      <c r="J21" s="593"/>
      <c r="K21" s="118"/>
      <c r="L21" s="163"/>
      <c r="M21" s="163"/>
      <c r="N21" s="163"/>
      <c r="O21" s="163"/>
      <c r="P21" s="163"/>
      <c r="Q21" s="901"/>
      <c r="R21" s="845"/>
      <c r="S21" s="163"/>
      <c r="T21" s="625"/>
      <c r="U21" s="625"/>
      <c r="V21" s="625"/>
      <c r="W21" s="359"/>
      <c r="X21" s="163"/>
      <c r="Y21" s="163"/>
      <c r="Z21" s="163"/>
      <c r="AA21" s="163"/>
      <c r="AB21" s="163"/>
      <c r="AC21" s="118"/>
      <c r="AD21" s="163"/>
    </row>
    <row r="22" spans="1:30" s="104" customFormat="1" ht="12" customHeight="1" thickBot="1">
      <c r="A22" s="119"/>
      <c r="B22" s="120" t="s">
        <v>43</v>
      </c>
      <c r="C22" s="121" t="s">
        <v>126</v>
      </c>
      <c r="D22" s="164"/>
      <c r="E22" s="164"/>
      <c r="F22" s="164"/>
      <c r="G22" s="164"/>
      <c r="H22" s="164"/>
      <c r="I22" s="902"/>
      <c r="J22" s="594"/>
      <c r="K22" s="122"/>
      <c r="L22" s="164"/>
      <c r="M22" s="164"/>
      <c r="N22" s="164"/>
      <c r="O22" s="164"/>
      <c r="P22" s="164"/>
      <c r="Q22" s="902"/>
      <c r="R22" s="846"/>
      <c r="S22" s="164"/>
      <c r="T22" s="626"/>
      <c r="U22" s="626"/>
      <c r="V22" s="626"/>
      <c r="W22" s="360"/>
      <c r="X22" s="164"/>
      <c r="Y22" s="164"/>
      <c r="Z22" s="164"/>
      <c r="AA22" s="164"/>
      <c r="AB22" s="164"/>
      <c r="AC22" s="122"/>
      <c r="AD22" s="164"/>
    </row>
    <row r="23" spans="1:30" s="104" customFormat="1" ht="12" customHeight="1" hidden="1" thickBot="1">
      <c r="A23" s="113" t="s">
        <v>11</v>
      </c>
      <c r="B23" s="101"/>
      <c r="D23" s="165"/>
      <c r="E23" s="165"/>
      <c r="F23" s="165"/>
      <c r="G23" s="165"/>
      <c r="H23" s="165"/>
      <c r="I23" s="903"/>
      <c r="J23" s="595" t="e">
        <f>H23/F23</f>
        <v>#DIV/0!</v>
      </c>
      <c r="K23" s="123"/>
      <c r="L23" s="165"/>
      <c r="M23" s="165"/>
      <c r="N23" s="165"/>
      <c r="O23" s="165"/>
      <c r="P23" s="165"/>
      <c r="Q23" s="903"/>
      <c r="R23" s="847" t="e">
        <f>P23/N23</f>
        <v>#DIV/0!</v>
      </c>
      <c r="S23" s="165"/>
      <c r="T23" s="213"/>
      <c r="U23" s="213"/>
      <c r="V23" s="213"/>
      <c r="W23" s="361"/>
      <c r="X23" s="165"/>
      <c r="Y23" s="165"/>
      <c r="Z23" s="165"/>
      <c r="AA23" s="165"/>
      <c r="AB23" s="165"/>
      <c r="AC23" s="123"/>
      <c r="AD23" s="165"/>
    </row>
    <row r="24" spans="1:30" s="104" customFormat="1" ht="12" customHeight="1" thickBot="1">
      <c r="A24" s="95" t="s">
        <v>11</v>
      </c>
      <c r="B24" s="124"/>
      <c r="C24" s="114" t="s">
        <v>128</v>
      </c>
      <c r="D24" s="216">
        <f>D9+D14+D15+D20+D23</f>
        <v>0</v>
      </c>
      <c r="E24" s="216">
        <f>E9+E14+E15+E20+E23</f>
        <v>2735047</v>
      </c>
      <c r="F24" s="216">
        <f>F9+F14+F15+F20+F23</f>
        <v>2907965</v>
      </c>
      <c r="G24" s="216">
        <f>G9+G14+G15+G20+G23</f>
        <v>3348367</v>
      </c>
      <c r="H24" s="216">
        <f>H9+H14+H15+H20+H23</f>
        <v>3348367</v>
      </c>
      <c r="I24" s="904">
        <f aca="true" t="shared" si="1" ref="I24:I30">+H24/G24</f>
        <v>1</v>
      </c>
      <c r="J24" s="216" t="e">
        <f aca="true" t="shared" si="2" ref="J24:P24">J9+J14+J15+J20+J23</f>
        <v>#DIV/0!</v>
      </c>
      <c r="K24" s="216">
        <f t="shared" si="2"/>
        <v>0</v>
      </c>
      <c r="L24" s="216">
        <f t="shared" si="2"/>
        <v>0</v>
      </c>
      <c r="M24" s="216">
        <f t="shared" si="2"/>
        <v>2735047</v>
      </c>
      <c r="N24" s="216">
        <f t="shared" si="2"/>
        <v>2907965</v>
      </c>
      <c r="O24" s="216">
        <f t="shared" si="2"/>
        <v>3348367</v>
      </c>
      <c r="P24" s="216">
        <f t="shared" si="2"/>
        <v>3348367</v>
      </c>
      <c r="Q24" s="904">
        <f>+P24/O24</f>
        <v>1</v>
      </c>
      <c r="R24" s="354" t="e">
        <f>R9+R14+R15+R20+R23</f>
        <v>#DIV/0!</v>
      </c>
      <c r="S24" s="216"/>
      <c r="T24" s="216"/>
      <c r="U24" s="216"/>
      <c r="V24" s="216"/>
      <c r="W24" s="356"/>
      <c r="X24" s="161"/>
      <c r="Y24" s="161"/>
      <c r="Z24" s="161"/>
      <c r="AA24" s="161"/>
      <c r="AB24" s="161"/>
      <c r="AC24" s="103"/>
      <c r="AD24" s="161"/>
    </row>
    <row r="25" spans="1:30" s="110" customFormat="1" ht="12" customHeight="1" thickBot="1">
      <c r="A25" s="125" t="s">
        <v>12</v>
      </c>
      <c r="B25" s="104"/>
      <c r="C25" s="126" t="s">
        <v>129</v>
      </c>
      <c r="D25" s="217">
        <f>SUM(D26:D28)</f>
        <v>98480392</v>
      </c>
      <c r="E25" s="217">
        <f>SUM(E26:E28)</f>
        <v>103781499</v>
      </c>
      <c r="F25" s="217">
        <f>SUM(F26:F28)</f>
        <v>104587099</v>
      </c>
      <c r="G25" s="217">
        <f>SUM(G26:G28)</f>
        <v>98742448</v>
      </c>
      <c r="H25" s="217">
        <f>SUM(H26:H28)</f>
        <v>98742448</v>
      </c>
      <c r="I25" s="905">
        <f t="shared" si="1"/>
        <v>1</v>
      </c>
      <c r="J25" s="296">
        <f>I25/H25</f>
        <v>1.0127356777705166E-08</v>
      </c>
      <c r="K25" s="474">
        <f>SUM(K26:K28)</f>
        <v>0</v>
      </c>
      <c r="L25" s="217">
        <f>SUM(L26:L28)</f>
        <v>98480392</v>
      </c>
      <c r="M25" s="217">
        <f>SUM(M26:M28)</f>
        <v>103781499</v>
      </c>
      <c r="N25" s="217">
        <f aca="true" t="shared" si="3" ref="N25:S25">SUM(N26:N28)</f>
        <v>104587099</v>
      </c>
      <c r="O25" s="217">
        <f t="shared" si="3"/>
        <v>93550173</v>
      </c>
      <c r="P25" s="217">
        <f>SUM(P26:P28)</f>
        <v>93550173</v>
      </c>
      <c r="Q25" s="905">
        <f>+P25/O25</f>
        <v>1</v>
      </c>
      <c r="R25" s="217">
        <f t="shared" si="3"/>
        <v>0</v>
      </c>
      <c r="S25" s="217">
        <f t="shared" si="3"/>
        <v>5192275</v>
      </c>
      <c r="T25" s="217">
        <f>SUM(T26:T28)</f>
        <v>5192275</v>
      </c>
      <c r="U25" s="905">
        <f>+T25/S25</f>
        <v>1</v>
      </c>
      <c r="V25" s="217">
        <f aca="true" t="shared" si="4" ref="V25:AA25">SUM(V26:V28)</f>
        <v>0</v>
      </c>
      <c r="W25" s="217">
        <f t="shared" si="4"/>
        <v>0</v>
      </c>
      <c r="X25" s="217">
        <f t="shared" si="4"/>
        <v>0</v>
      </c>
      <c r="Y25" s="217">
        <f t="shared" si="4"/>
        <v>0</v>
      </c>
      <c r="Z25" s="217">
        <f t="shared" si="4"/>
        <v>0</v>
      </c>
      <c r="AA25" s="217">
        <f t="shared" si="4"/>
        <v>0</v>
      </c>
      <c r="AB25" s="161"/>
      <c r="AC25" s="103"/>
      <c r="AD25" s="161"/>
    </row>
    <row r="26" spans="1:30" s="110" customFormat="1" ht="15" customHeight="1" thickBot="1">
      <c r="A26" s="105"/>
      <c r="B26" s="127" t="s">
        <v>44</v>
      </c>
      <c r="C26" s="117" t="s">
        <v>131</v>
      </c>
      <c r="D26" s="163">
        <v>987190</v>
      </c>
      <c r="E26" s="163">
        <v>987190</v>
      </c>
      <c r="F26" s="163">
        <v>987190</v>
      </c>
      <c r="G26" s="163">
        <v>987190</v>
      </c>
      <c r="H26" s="163">
        <v>987190</v>
      </c>
      <c r="I26" s="901">
        <f t="shared" si="1"/>
        <v>1</v>
      </c>
      <c r="J26" s="622"/>
      <c r="K26" s="118"/>
      <c r="L26" s="163">
        <v>987190</v>
      </c>
      <c r="M26" s="163">
        <v>987190</v>
      </c>
      <c r="N26" s="163">
        <v>987190</v>
      </c>
      <c r="O26" s="163">
        <v>987190</v>
      </c>
      <c r="P26" s="163">
        <v>987190</v>
      </c>
      <c r="Q26" s="901">
        <f>+P26/O26</f>
        <v>1</v>
      </c>
      <c r="R26" s="848"/>
      <c r="S26" s="163"/>
      <c r="T26" s="163"/>
      <c r="U26" s="901"/>
      <c r="V26" s="625"/>
      <c r="W26" s="163"/>
      <c r="X26" s="163"/>
      <c r="Y26" s="163"/>
      <c r="Z26" s="163"/>
      <c r="AA26" s="163"/>
      <c r="AB26" s="366"/>
      <c r="AC26" s="218"/>
      <c r="AD26" s="366"/>
    </row>
    <row r="27" spans="1:30" s="110" customFormat="1" ht="15" customHeight="1">
      <c r="A27" s="475"/>
      <c r="B27" s="476" t="s">
        <v>45</v>
      </c>
      <c r="C27" s="390" t="s">
        <v>442</v>
      </c>
      <c r="D27" s="478">
        <v>97493202</v>
      </c>
      <c r="E27" s="478">
        <v>102794309</v>
      </c>
      <c r="F27" s="478">
        <v>103599909</v>
      </c>
      <c r="G27" s="478">
        <v>97755258</v>
      </c>
      <c r="H27" s="478">
        <v>97755258</v>
      </c>
      <c r="I27" s="906">
        <f t="shared" si="1"/>
        <v>1</v>
      </c>
      <c r="J27" s="622"/>
      <c r="K27" s="482"/>
      <c r="L27" s="478">
        <v>97493202</v>
      </c>
      <c r="M27" s="478">
        <v>102794309</v>
      </c>
      <c r="N27" s="478">
        <v>103599909</v>
      </c>
      <c r="O27" s="478">
        <f>97755258-S27</f>
        <v>92562983</v>
      </c>
      <c r="P27" s="478">
        <f>97755258-T27</f>
        <v>92562983</v>
      </c>
      <c r="Q27" s="906">
        <f>+P27/O27</f>
        <v>1</v>
      </c>
      <c r="R27" s="848"/>
      <c r="S27" s="478">
        <v>5192275</v>
      </c>
      <c r="T27" s="478">
        <v>5192275</v>
      </c>
      <c r="U27" s="906">
        <f>+T27/S27</f>
        <v>1</v>
      </c>
      <c r="V27" s="852"/>
      <c r="W27" s="479"/>
      <c r="X27" s="479"/>
      <c r="Y27" s="479"/>
      <c r="Z27" s="479"/>
      <c r="AA27" s="479"/>
      <c r="AB27" s="480"/>
      <c r="AC27" s="481"/>
      <c r="AD27" s="480"/>
    </row>
    <row r="28" spans="1:30" s="110" customFormat="1" ht="15" customHeight="1" thickBot="1">
      <c r="A28" s="128"/>
      <c r="B28" s="129" t="s">
        <v>71</v>
      </c>
      <c r="C28" s="130" t="s">
        <v>133</v>
      </c>
      <c r="D28" s="167"/>
      <c r="E28" s="167"/>
      <c r="F28" s="167"/>
      <c r="G28" s="167"/>
      <c r="H28" s="167"/>
      <c r="I28" s="907"/>
      <c r="J28" s="596"/>
      <c r="K28" s="131"/>
      <c r="L28" s="167"/>
      <c r="M28" s="167"/>
      <c r="N28" s="167"/>
      <c r="O28" s="167"/>
      <c r="P28" s="167"/>
      <c r="Q28" s="907"/>
      <c r="R28" s="849"/>
      <c r="S28" s="167"/>
      <c r="T28" s="167"/>
      <c r="U28" s="907"/>
      <c r="V28" s="628"/>
      <c r="W28" s="363"/>
      <c r="X28" s="363"/>
      <c r="Y28" s="363"/>
      <c r="Z28" s="363"/>
      <c r="AA28" s="363"/>
      <c r="AB28" s="167"/>
      <c r="AC28" s="131"/>
      <c r="AD28" s="167"/>
    </row>
    <row r="29" spans="1:30" ht="13.5" hidden="1" thickBot="1">
      <c r="A29" s="132" t="s">
        <v>13</v>
      </c>
      <c r="B29" s="133"/>
      <c r="C29" s="134" t="s">
        <v>134</v>
      </c>
      <c r="D29" s="213"/>
      <c r="E29" s="213"/>
      <c r="F29" s="213"/>
      <c r="G29" s="213"/>
      <c r="H29" s="213"/>
      <c r="I29" s="908" t="e">
        <f t="shared" si="1"/>
        <v>#DIV/0!</v>
      </c>
      <c r="J29" s="597" t="e">
        <f>H29/F29</f>
        <v>#DIV/0!</v>
      </c>
      <c r="K29" s="123"/>
      <c r="L29" s="213"/>
      <c r="M29" s="213"/>
      <c r="N29" s="213"/>
      <c r="O29" s="213"/>
      <c r="P29" s="213"/>
      <c r="Q29" s="908" t="e">
        <f>+P29/O29</f>
        <v>#DIV/0!</v>
      </c>
      <c r="R29" s="837" t="e">
        <f>P29/N29</f>
        <v>#DIV/0!</v>
      </c>
      <c r="S29" s="213"/>
      <c r="T29" s="213"/>
      <c r="U29" s="908" t="e">
        <f>+T29/S29</f>
        <v>#DIV/0!</v>
      </c>
      <c r="V29" s="213"/>
      <c r="W29" s="361"/>
      <c r="X29" s="361"/>
      <c r="Y29" s="361"/>
      <c r="Z29" s="361"/>
      <c r="AA29" s="361"/>
      <c r="AB29" s="165"/>
      <c r="AC29" s="123"/>
      <c r="AD29" s="165"/>
    </row>
    <row r="30" spans="1:30" s="98" customFormat="1" ht="16.5" customHeight="1" thickBot="1">
      <c r="A30" s="132" t="s">
        <v>13</v>
      </c>
      <c r="B30" s="135"/>
      <c r="C30" s="136" t="s">
        <v>274</v>
      </c>
      <c r="D30" s="219">
        <f>D24+D29+D25</f>
        <v>98480392</v>
      </c>
      <c r="E30" s="219">
        <f>E24+E29+E25</f>
        <v>106516546</v>
      </c>
      <c r="F30" s="219">
        <f>F24+F29+F25</f>
        <v>107495064</v>
      </c>
      <c r="G30" s="219">
        <f>G24+G29+G25</f>
        <v>102090815</v>
      </c>
      <c r="H30" s="219">
        <f>H24+H29+H25</f>
        <v>102090815</v>
      </c>
      <c r="I30" s="909">
        <f t="shared" si="1"/>
        <v>1</v>
      </c>
      <c r="J30" s="296">
        <f>I30/H30</f>
        <v>9.795200479102846E-09</v>
      </c>
      <c r="K30" s="155">
        <f>K24+K29+K25</f>
        <v>0</v>
      </c>
      <c r="L30" s="219">
        <f>L24+L29+L25</f>
        <v>98480392</v>
      </c>
      <c r="M30" s="219">
        <f>M24+M29+M25</f>
        <v>106516546</v>
      </c>
      <c r="N30" s="219">
        <f aca="true" t="shared" si="5" ref="N30:S30">N24+N29+N25</f>
        <v>107495064</v>
      </c>
      <c r="O30" s="219">
        <f t="shared" si="5"/>
        <v>96898540</v>
      </c>
      <c r="P30" s="219">
        <f>P24+P29+P25</f>
        <v>96898540</v>
      </c>
      <c r="Q30" s="909">
        <f>+P30/O30</f>
        <v>1</v>
      </c>
      <c r="R30" s="219" t="e">
        <f t="shared" si="5"/>
        <v>#DIV/0!</v>
      </c>
      <c r="S30" s="219">
        <f t="shared" si="5"/>
        <v>5192275</v>
      </c>
      <c r="T30" s="219">
        <f>T24+T29+T25</f>
        <v>5192275</v>
      </c>
      <c r="U30" s="909">
        <f>+T30/S30</f>
        <v>1</v>
      </c>
      <c r="V30" s="219">
        <f aca="true" t="shared" si="6" ref="V30:AA30">V24+V29+V25</f>
        <v>0</v>
      </c>
      <c r="W30" s="219">
        <f t="shared" si="6"/>
        <v>0</v>
      </c>
      <c r="X30" s="219">
        <f t="shared" si="6"/>
        <v>0</v>
      </c>
      <c r="Y30" s="219">
        <f t="shared" si="6"/>
        <v>0</v>
      </c>
      <c r="Z30" s="219">
        <f t="shared" si="6"/>
        <v>0</v>
      </c>
      <c r="AA30" s="219">
        <f t="shared" si="6"/>
        <v>0</v>
      </c>
      <c r="AB30" s="168"/>
      <c r="AC30" s="155"/>
      <c r="AD30" s="168"/>
    </row>
    <row r="31" spans="1:23" s="141" customFormat="1" ht="12" customHeight="1">
      <c r="A31" s="138"/>
      <c r="B31" s="138"/>
      <c r="C31" s="139"/>
      <c r="D31" s="140"/>
      <c r="E31" s="140"/>
      <c r="F31" s="140"/>
      <c r="G31" s="140"/>
      <c r="H31" s="140"/>
      <c r="I31" s="886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</row>
    <row r="32" spans="1:23" ht="12" customHeight="1" thickBot="1">
      <c r="A32" s="142"/>
      <c r="B32" s="143"/>
      <c r="C32" s="143"/>
      <c r="D32" s="144"/>
      <c r="E32" s="144"/>
      <c r="F32" s="144"/>
      <c r="G32" s="144"/>
      <c r="H32" s="144"/>
      <c r="I32" s="887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</row>
    <row r="33" spans="1:29" ht="12" customHeight="1" thickBot="1">
      <c r="A33" s="145"/>
      <c r="B33" s="146"/>
      <c r="C33" s="147" t="s">
        <v>136</v>
      </c>
      <c r="D33" s="159"/>
      <c r="E33" s="159"/>
      <c r="F33" s="159"/>
      <c r="G33" s="159"/>
      <c r="H33" s="159"/>
      <c r="I33" s="910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364"/>
      <c r="W33" s="364"/>
      <c r="X33" s="168"/>
      <c r="Y33" s="168"/>
      <c r="Z33" s="168"/>
      <c r="AA33" s="673"/>
      <c r="AB33" s="155"/>
      <c r="AC33" s="137"/>
    </row>
    <row r="34" spans="1:30" ht="12" customHeight="1" thickBot="1">
      <c r="A34" s="113" t="s">
        <v>27</v>
      </c>
      <c r="B34" s="148"/>
      <c r="C34" s="367" t="s">
        <v>137</v>
      </c>
      <c r="D34" s="356">
        <f>SUM(D35:D39)</f>
        <v>97591392</v>
      </c>
      <c r="E34" s="356">
        <f>SUM(E35:E39)</f>
        <v>105627546</v>
      </c>
      <c r="F34" s="356">
        <f>SUM(F35:F39)</f>
        <v>106606064</v>
      </c>
      <c r="G34" s="356">
        <f>SUM(G35:G39)</f>
        <v>101911705</v>
      </c>
      <c r="H34" s="356">
        <f>SUM(H35:H39)</f>
        <v>101011243</v>
      </c>
      <c r="I34" s="873">
        <f>+H34/G34</f>
        <v>0.9911642926590228</v>
      </c>
      <c r="J34" s="296">
        <f>I34/H34</f>
        <v>9.812415561097716E-09</v>
      </c>
      <c r="K34" s="350">
        <f>SUM(K35:K39)</f>
        <v>0</v>
      </c>
      <c r="L34" s="356">
        <f>SUM(L35:L39)</f>
        <v>97591392</v>
      </c>
      <c r="M34" s="356">
        <f>SUM(M35:M39)</f>
        <v>105627546</v>
      </c>
      <c r="N34" s="356">
        <f aca="true" t="shared" si="7" ref="N34:S34">SUM(N35:N39)</f>
        <v>106606064</v>
      </c>
      <c r="O34" s="356">
        <f t="shared" si="7"/>
        <v>96719430</v>
      </c>
      <c r="P34" s="356">
        <f t="shared" si="7"/>
        <v>101011243</v>
      </c>
      <c r="Q34" s="873">
        <f>+P34/O34</f>
        <v>1.0443738450485078</v>
      </c>
      <c r="R34" s="356">
        <f t="shared" si="7"/>
        <v>0</v>
      </c>
      <c r="S34" s="356">
        <f t="shared" si="7"/>
        <v>5192275</v>
      </c>
      <c r="T34" s="356">
        <f>SUM(T35:T39)</f>
        <v>5192275</v>
      </c>
      <c r="U34" s="873">
        <f>+T34/S34</f>
        <v>1</v>
      </c>
      <c r="V34" s="356">
        <f>SUM(V35:V39)</f>
        <v>5776781</v>
      </c>
      <c r="W34" s="356">
        <f>SUM(W35:W39)</f>
        <v>5776781</v>
      </c>
      <c r="X34" s="356">
        <f>SUM(X35:X39)</f>
        <v>5776781</v>
      </c>
      <c r="Y34" s="356">
        <f>SUM(Y35:Y39)</f>
        <v>5776781</v>
      </c>
      <c r="Z34" s="356">
        <f>SUM(Z35:Z39)</f>
        <v>5538912</v>
      </c>
      <c r="AA34" s="873">
        <f>+Z34/Y34</f>
        <v>0.958823261605382</v>
      </c>
      <c r="AB34" s="296">
        <f>AA34/Z34</f>
        <v>1.7310678732671362E-07</v>
      </c>
      <c r="AC34" s="379"/>
      <c r="AD34" s="103">
        <f>SUM(AD35:AD39)</f>
        <v>0</v>
      </c>
    </row>
    <row r="35" spans="1:30" ht="12" customHeight="1">
      <c r="A35" s="149"/>
      <c r="B35" s="150" t="s">
        <v>111</v>
      </c>
      <c r="C35" s="368" t="s">
        <v>138</v>
      </c>
      <c r="D35" s="374">
        <v>63969698</v>
      </c>
      <c r="E35" s="374">
        <v>70498686</v>
      </c>
      <c r="F35" s="374">
        <v>71133017</v>
      </c>
      <c r="G35" s="374">
        <v>70262828</v>
      </c>
      <c r="H35" s="374">
        <v>70172765</v>
      </c>
      <c r="I35" s="889">
        <f>+H35/G35</f>
        <v>0.9987181984761558</v>
      </c>
      <c r="J35" s="622"/>
      <c r="K35" s="620"/>
      <c r="L35" s="374">
        <v>63969698</v>
      </c>
      <c r="M35" s="374">
        <v>70498686</v>
      </c>
      <c r="N35" s="374">
        <v>71133017</v>
      </c>
      <c r="O35" s="374">
        <f>70262828-S35</f>
        <v>65917828</v>
      </c>
      <c r="P35" s="374">
        <v>70172765</v>
      </c>
      <c r="Q35" s="889">
        <f>+P35/O35</f>
        <v>1.0645491080197607</v>
      </c>
      <c r="R35" s="622"/>
      <c r="S35" s="374">
        <v>4345000</v>
      </c>
      <c r="T35" s="374">
        <v>4345000</v>
      </c>
      <c r="U35" s="889">
        <f>+T35/S35</f>
        <v>1</v>
      </c>
      <c r="V35" s="358">
        <v>3813230</v>
      </c>
      <c r="W35" s="358">
        <v>3813230</v>
      </c>
      <c r="X35" s="358">
        <v>3813230</v>
      </c>
      <c r="Y35" s="358">
        <v>3813230</v>
      </c>
      <c r="Z35" s="358">
        <v>3813230</v>
      </c>
      <c r="AA35" s="889">
        <f>+Z35/Y35</f>
        <v>1</v>
      </c>
      <c r="AB35" s="622">
        <f>AA35/Z35</f>
        <v>2.6224486852353516E-07</v>
      </c>
      <c r="AC35" s="380"/>
      <c r="AD35" s="109"/>
    </row>
    <row r="36" spans="1:30" ht="12" customHeight="1">
      <c r="A36" s="151"/>
      <c r="B36" s="152" t="s">
        <v>112</v>
      </c>
      <c r="C36" s="369" t="s">
        <v>51</v>
      </c>
      <c r="D36" s="375">
        <v>13493999</v>
      </c>
      <c r="E36" s="375">
        <v>14722633</v>
      </c>
      <c r="F36" s="375">
        <v>14943902</v>
      </c>
      <c r="G36" s="375">
        <v>14882641</v>
      </c>
      <c r="H36" s="375">
        <v>14701207</v>
      </c>
      <c r="I36" s="890">
        <f>+H36/G36</f>
        <v>0.9878090185740555</v>
      </c>
      <c r="J36" s="622"/>
      <c r="K36" s="382"/>
      <c r="L36" s="375">
        <v>13493999</v>
      </c>
      <c r="M36" s="375">
        <v>14722633</v>
      </c>
      <c r="N36" s="375">
        <v>14943902</v>
      </c>
      <c r="O36" s="375">
        <f>14882641-S36</f>
        <v>14035366</v>
      </c>
      <c r="P36" s="375">
        <v>14701207</v>
      </c>
      <c r="Q36" s="890">
        <f>+P36/O36</f>
        <v>1.0474402306288273</v>
      </c>
      <c r="R36" s="622"/>
      <c r="S36" s="375">
        <v>847275</v>
      </c>
      <c r="T36" s="375">
        <v>847275</v>
      </c>
      <c r="U36" s="890">
        <f>+T36/S36</f>
        <v>1</v>
      </c>
      <c r="V36" s="358">
        <v>763740</v>
      </c>
      <c r="W36" s="358">
        <v>763740</v>
      </c>
      <c r="X36" s="358">
        <v>763740</v>
      </c>
      <c r="Y36" s="358">
        <v>763740</v>
      </c>
      <c r="Z36" s="358">
        <v>763740</v>
      </c>
      <c r="AA36" s="890">
        <f>+Z36/Y36</f>
        <v>1</v>
      </c>
      <c r="AB36" s="622">
        <f>AA36/Z36</f>
        <v>1.3093461125513919E-06</v>
      </c>
      <c r="AC36" s="380"/>
      <c r="AD36" s="109"/>
    </row>
    <row r="37" spans="1:30" ht="12" customHeight="1">
      <c r="A37" s="151"/>
      <c r="B37" s="152" t="s">
        <v>113</v>
      </c>
      <c r="C37" s="369" t="s">
        <v>139</v>
      </c>
      <c r="D37" s="375">
        <v>20127695</v>
      </c>
      <c r="E37" s="375">
        <v>20406227</v>
      </c>
      <c r="F37" s="375">
        <v>20529145</v>
      </c>
      <c r="G37" s="375">
        <v>16766236</v>
      </c>
      <c r="H37" s="375">
        <v>16137271</v>
      </c>
      <c r="I37" s="890">
        <f>+H37/G37</f>
        <v>0.9624862133635719</v>
      </c>
      <c r="J37" s="622"/>
      <c r="K37" s="382"/>
      <c r="L37" s="375">
        <v>20127695</v>
      </c>
      <c r="M37" s="375">
        <v>20406227</v>
      </c>
      <c r="N37" s="375">
        <v>20529145</v>
      </c>
      <c r="O37" s="375">
        <v>16766236</v>
      </c>
      <c r="P37" s="375">
        <v>16137271</v>
      </c>
      <c r="Q37" s="890">
        <f>+P37/O37</f>
        <v>0.9624862133635719</v>
      </c>
      <c r="R37" s="622"/>
      <c r="S37" s="375"/>
      <c r="T37" s="375"/>
      <c r="U37" s="890"/>
      <c r="V37" s="358">
        <v>1199811</v>
      </c>
      <c r="W37" s="358">
        <v>1199811</v>
      </c>
      <c r="X37" s="358">
        <v>1199811</v>
      </c>
      <c r="Y37" s="358">
        <v>1199811</v>
      </c>
      <c r="Z37" s="358">
        <v>961942</v>
      </c>
      <c r="AA37" s="890">
        <f>+Z37/Y37</f>
        <v>0.8017446081091105</v>
      </c>
      <c r="AB37" s="622">
        <f>AA37/Z37</f>
        <v>8.334646040084647E-07</v>
      </c>
      <c r="AC37" s="380"/>
      <c r="AD37" s="109"/>
    </row>
    <row r="38" spans="1:30" s="141" customFormat="1" ht="12" customHeight="1">
      <c r="A38" s="151"/>
      <c r="B38" s="152" t="s">
        <v>114</v>
      </c>
      <c r="C38" s="369" t="s">
        <v>81</v>
      </c>
      <c r="D38" s="375"/>
      <c r="E38" s="375"/>
      <c r="F38" s="375"/>
      <c r="G38" s="375"/>
      <c r="H38" s="375"/>
      <c r="I38" s="890"/>
      <c r="J38" s="622"/>
      <c r="K38" s="382"/>
      <c r="L38" s="375"/>
      <c r="M38" s="375"/>
      <c r="N38" s="375"/>
      <c r="O38" s="375"/>
      <c r="P38" s="375"/>
      <c r="Q38" s="890"/>
      <c r="R38" s="622"/>
      <c r="S38" s="375"/>
      <c r="T38" s="375"/>
      <c r="U38" s="890"/>
      <c r="V38" s="358"/>
      <c r="W38" s="358"/>
      <c r="X38" s="358"/>
      <c r="Y38" s="358"/>
      <c r="Z38" s="358"/>
      <c r="AA38" s="358"/>
      <c r="AB38" s="109"/>
      <c r="AC38" s="381"/>
      <c r="AD38" s="109"/>
    </row>
    <row r="39" spans="1:30" ht="12" customHeight="1" thickBot="1">
      <c r="A39" s="151"/>
      <c r="B39" s="152" t="s">
        <v>50</v>
      </c>
      <c r="C39" s="369" t="s">
        <v>83</v>
      </c>
      <c r="D39" s="375"/>
      <c r="E39" s="375"/>
      <c r="F39" s="375"/>
      <c r="G39" s="375"/>
      <c r="H39" s="375"/>
      <c r="I39" s="890"/>
      <c r="J39" s="622"/>
      <c r="K39" s="382"/>
      <c r="L39" s="375"/>
      <c r="M39" s="375"/>
      <c r="N39" s="375"/>
      <c r="O39" s="375"/>
      <c r="P39" s="375"/>
      <c r="Q39" s="890"/>
      <c r="R39" s="622"/>
      <c r="S39" s="375"/>
      <c r="T39" s="375"/>
      <c r="U39" s="890"/>
      <c r="V39" s="375"/>
      <c r="W39" s="375"/>
      <c r="X39" s="375"/>
      <c r="Y39" s="375"/>
      <c r="Z39" s="375"/>
      <c r="AA39" s="375"/>
      <c r="AB39" s="153"/>
      <c r="AC39" s="382"/>
      <c r="AD39" s="153"/>
    </row>
    <row r="40" spans="1:30" ht="12" customHeight="1" thickBot="1">
      <c r="A40" s="113" t="s">
        <v>28</v>
      </c>
      <c r="B40" s="148"/>
      <c r="C40" s="367" t="s">
        <v>140</v>
      </c>
      <c r="D40" s="356">
        <f>SUM(D41:D44)</f>
        <v>889000</v>
      </c>
      <c r="E40" s="356">
        <f>SUM(E41:E44)</f>
        <v>889000</v>
      </c>
      <c r="F40" s="356">
        <f>SUM(F41:F44)</f>
        <v>889000</v>
      </c>
      <c r="G40" s="356">
        <f>SUM(G41:G44)</f>
        <v>179110</v>
      </c>
      <c r="H40" s="356">
        <f>SUM(H41:H44)</f>
        <v>179110</v>
      </c>
      <c r="I40" s="873">
        <f>+H40/G40</f>
        <v>1</v>
      </c>
      <c r="J40" s="296">
        <f>I40/H40</f>
        <v>5.583161185863436E-06</v>
      </c>
      <c r="K40" s="350">
        <f aca="true" t="shared" si="8" ref="K40:P40">SUM(K41:K44)</f>
        <v>0</v>
      </c>
      <c r="L40" s="356">
        <f t="shared" si="8"/>
        <v>889000</v>
      </c>
      <c r="M40" s="356">
        <f t="shared" si="8"/>
        <v>889000</v>
      </c>
      <c r="N40" s="356">
        <f t="shared" si="8"/>
        <v>889000</v>
      </c>
      <c r="O40" s="356">
        <f t="shared" si="8"/>
        <v>179110</v>
      </c>
      <c r="P40" s="356">
        <f t="shared" si="8"/>
        <v>179110</v>
      </c>
      <c r="Q40" s="873">
        <f>+P40/O40</f>
        <v>1</v>
      </c>
      <c r="R40" s="296">
        <f>Q40/P40</f>
        <v>5.583161185863436E-06</v>
      </c>
      <c r="S40" s="356"/>
      <c r="T40" s="356"/>
      <c r="U40" s="873"/>
      <c r="V40" s="356">
        <f aca="true" t="shared" si="9" ref="V40:AB40">SUM(V41:V44)</f>
        <v>0</v>
      </c>
      <c r="W40" s="356">
        <f>SUM(W41:W44)</f>
        <v>0</v>
      </c>
      <c r="X40" s="356">
        <f>SUM(X41:X44)</f>
        <v>0</v>
      </c>
      <c r="Y40" s="356">
        <f>SUM(Y41:Y44)</f>
        <v>0</v>
      </c>
      <c r="Z40" s="356">
        <f t="shared" si="9"/>
        <v>0</v>
      </c>
      <c r="AA40" s="356">
        <f t="shared" si="9"/>
        <v>0</v>
      </c>
      <c r="AB40" s="103">
        <f t="shared" si="9"/>
        <v>0</v>
      </c>
      <c r="AC40" s="350"/>
      <c r="AD40" s="103">
        <f>SUM(AD41:AD44)</f>
        <v>0</v>
      </c>
    </row>
    <row r="41" spans="1:30" ht="12" customHeight="1">
      <c r="A41" s="149"/>
      <c r="B41" s="150" t="s">
        <v>141</v>
      </c>
      <c r="C41" s="368" t="s">
        <v>93</v>
      </c>
      <c r="D41" s="374">
        <v>889000</v>
      </c>
      <c r="E41" s="374">
        <v>889000</v>
      </c>
      <c r="F41" s="374">
        <v>889000</v>
      </c>
      <c r="G41" s="374">
        <v>179110</v>
      </c>
      <c r="H41" s="374">
        <v>179110</v>
      </c>
      <c r="I41" s="889">
        <f>+H41/G41</f>
        <v>1</v>
      </c>
      <c r="J41" s="622"/>
      <c r="K41" s="620"/>
      <c r="L41" s="374">
        <v>889000</v>
      </c>
      <c r="M41" s="374">
        <v>889000</v>
      </c>
      <c r="N41" s="374">
        <v>889000</v>
      </c>
      <c r="O41" s="374">
        <v>179110</v>
      </c>
      <c r="P41" s="374">
        <v>179110</v>
      </c>
      <c r="Q41" s="889">
        <f>+P41/O41</f>
        <v>1</v>
      </c>
      <c r="R41" s="622">
        <f>Q41/P41</f>
        <v>5.583161185863436E-06</v>
      </c>
      <c r="S41" s="374"/>
      <c r="T41" s="374"/>
      <c r="U41" s="889"/>
      <c r="V41" s="358"/>
      <c r="W41" s="358"/>
      <c r="X41" s="358"/>
      <c r="Y41" s="358"/>
      <c r="Z41" s="358"/>
      <c r="AA41" s="358"/>
      <c r="AB41" s="109"/>
      <c r="AC41" s="381"/>
      <c r="AD41" s="109"/>
    </row>
    <row r="42" spans="1:30" ht="12" customHeight="1">
      <c r="A42" s="151"/>
      <c r="B42" s="152" t="s">
        <v>142</v>
      </c>
      <c r="C42" s="369" t="s">
        <v>94</v>
      </c>
      <c r="D42" s="375">
        <v>0</v>
      </c>
      <c r="E42" s="375">
        <v>0</v>
      </c>
      <c r="F42" s="375">
        <v>0</v>
      </c>
      <c r="G42" s="375">
        <v>0</v>
      </c>
      <c r="H42" s="375">
        <v>0</v>
      </c>
      <c r="I42" s="890"/>
      <c r="J42" s="170"/>
      <c r="K42" s="382">
        <v>0</v>
      </c>
      <c r="L42" s="375">
        <v>0</v>
      </c>
      <c r="M42" s="375">
        <v>0</v>
      </c>
      <c r="N42" s="375">
        <v>0</v>
      </c>
      <c r="O42" s="375">
        <v>0</v>
      </c>
      <c r="P42" s="375">
        <v>0</v>
      </c>
      <c r="Q42" s="890"/>
      <c r="R42" s="170"/>
      <c r="S42" s="375"/>
      <c r="T42" s="375"/>
      <c r="U42" s="890"/>
      <c r="V42" s="375"/>
      <c r="W42" s="375"/>
      <c r="X42" s="375"/>
      <c r="Y42" s="375"/>
      <c r="Z42" s="375"/>
      <c r="AA42" s="375"/>
      <c r="AB42" s="153"/>
      <c r="AC42" s="382"/>
      <c r="AD42" s="153"/>
    </row>
    <row r="43" spans="1:30" ht="15" customHeight="1">
      <c r="A43" s="151"/>
      <c r="B43" s="152" t="s">
        <v>143</v>
      </c>
      <c r="C43" s="369" t="s">
        <v>144</v>
      </c>
      <c r="D43" s="375"/>
      <c r="E43" s="375"/>
      <c r="F43" s="375"/>
      <c r="G43" s="375"/>
      <c r="H43" s="375"/>
      <c r="I43" s="890"/>
      <c r="J43" s="170"/>
      <c r="K43" s="382"/>
      <c r="L43" s="375"/>
      <c r="M43" s="375"/>
      <c r="N43" s="375"/>
      <c r="O43" s="375"/>
      <c r="P43" s="375"/>
      <c r="Q43" s="890"/>
      <c r="R43" s="170"/>
      <c r="S43" s="375"/>
      <c r="T43" s="375"/>
      <c r="U43" s="890"/>
      <c r="V43" s="375"/>
      <c r="W43" s="375"/>
      <c r="X43" s="375"/>
      <c r="Y43" s="375"/>
      <c r="Z43" s="375"/>
      <c r="AA43" s="375"/>
      <c r="AB43" s="153"/>
      <c r="AC43" s="382"/>
      <c r="AD43" s="153"/>
    </row>
    <row r="44" spans="1:30" ht="23.25" thickBot="1">
      <c r="A44" s="151"/>
      <c r="B44" s="152" t="s">
        <v>145</v>
      </c>
      <c r="C44" s="369" t="s">
        <v>146</v>
      </c>
      <c r="D44" s="375"/>
      <c r="E44" s="375"/>
      <c r="F44" s="375"/>
      <c r="G44" s="375"/>
      <c r="H44" s="375"/>
      <c r="I44" s="890"/>
      <c r="J44" s="170"/>
      <c r="K44" s="382"/>
      <c r="L44" s="375"/>
      <c r="M44" s="375"/>
      <c r="N44" s="375"/>
      <c r="O44" s="375"/>
      <c r="P44" s="375"/>
      <c r="Q44" s="890"/>
      <c r="R44" s="170"/>
      <c r="S44" s="375"/>
      <c r="T44" s="375"/>
      <c r="U44" s="890"/>
      <c r="V44" s="375"/>
      <c r="W44" s="375"/>
      <c r="X44" s="375"/>
      <c r="Y44" s="375"/>
      <c r="Z44" s="375"/>
      <c r="AA44" s="375"/>
      <c r="AB44" s="153"/>
      <c r="AC44" s="382"/>
      <c r="AD44" s="153"/>
    </row>
    <row r="45" spans="1:30" ht="15" customHeight="1" hidden="1" thickBot="1">
      <c r="A45" s="113" t="s">
        <v>10</v>
      </c>
      <c r="B45" s="148"/>
      <c r="C45" s="370" t="s">
        <v>147</v>
      </c>
      <c r="D45" s="361"/>
      <c r="E45" s="361"/>
      <c r="F45" s="361"/>
      <c r="G45" s="361"/>
      <c r="H45" s="361"/>
      <c r="I45" s="881"/>
      <c r="J45" s="165"/>
      <c r="K45" s="351"/>
      <c r="L45" s="361"/>
      <c r="M45" s="361"/>
      <c r="N45" s="361"/>
      <c r="O45" s="361"/>
      <c r="P45" s="361"/>
      <c r="Q45" s="881"/>
      <c r="R45" s="165"/>
      <c r="S45" s="361"/>
      <c r="T45" s="361"/>
      <c r="U45" s="881"/>
      <c r="V45" s="361"/>
      <c r="W45" s="361"/>
      <c r="X45" s="361"/>
      <c r="Y45" s="361"/>
      <c r="Z45" s="361"/>
      <c r="AA45" s="361"/>
      <c r="AB45" s="123"/>
      <c r="AC45" s="351"/>
      <c r="AD45" s="123"/>
    </row>
    <row r="46" spans="1:30" ht="14.25" customHeight="1" hidden="1" thickBot="1">
      <c r="A46" s="132" t="s">
        <v>11</v>
      </c>
      <c r="B46" s="133"/>
      <c r="C46" s="371" t="s">
        <v>148</v>
      </c>
      <c r="D46" s="361"/>
      <c r="E46" s="361"/>
      <c r="F46" s="361"/>
      <c r="G46" s="361"/>
      <c r="H46" s="361"/>
      <c r="I46" s="881"/>
      <c r="J46" s="165"/>
      <c r="K46" s="351"/>
      <c r="L46" s="361"/>
      <c r="M46" s="361"/>
      <c r="N46" s="361"/>
      <c r="O46" s="361"/>
      <c r="P46" s="361"/>
      <c r="Q46" s="881"/>
      <c r="R46" s="165"/>
      <c r="S46" s="361"/>
      <c r="T46" s="361"/>
      <c r="U46" s="881"/>
      <c r="V46" s="361"/>
      <c r="W46" s="361"/>
      <c r="X46" s="361"/>
      <c r="Y46" s="361"/>
      <c r="Z46" s="361"/>
      <c r="AA46" s="361"/>
      <c r="AB46" s="123"/>
      <c r="AC46" s="351"/>
      <c r="AD46" s="123"/>
    </row>
    <row r="47" spans="1:30" ht="13.5" thickBot="1">
      <c r="A47" s="113" t="s">
        <v>10</v>
      </c>
      <c r="B47" s="154"/>
      <c r="C47" s="372" t="s">
        <v>275</v>
      </c>
      <c r="D47" s="364">
        <f>D34+D40+D45+D46</f>
        <v>98480392</v>
      </c>
      <c r="E47" s="364">
        <f>E34+E40+E45+E46</f>
        <v>106516546</v>
      </c>
      <c r="F47" s="364">
        <f>F34+F40+F45+F46</f>
        <v>107495064</v>
      </c>
      <c r="G47" s="364">
        <f>G34+G40+G45+G46</f>
        <v>102090815</v>
      </c>
      <c r="H47" s="364">
        <f>H34+H40+H45+H46</f>
        <v>101190353</v>
      </c>
      <c r="I47" s="885">
        <f>+H47/G47</f>
        <v>0.9911797941861861</v>
      </c>
      <c r="J47" s="296">
        <f>I47/H47</f>
        <v>9.795200479102846E-09</v>
      </c>
      <c r="K47" s="137">
        <f aca="true" t="shared" si="10" ref="K47:S47">K34+K40+K45+K46</f>
        <v>0</v>
      </c>
      <c r="L47" s="364">
        <f t="shared" si="10"/>
        <v>98480392</v>
      </c>
      <c r="M47" s="364">
        <f t="shared" si="10"/>
        <v>106516546</v>
      </c>
      <c r="N47" s="364">
        <f t="shared" si="10"/>
        <v>107495064</v>
      </c>
      <c r="O47" s="364">
        <f t="shared" si="10"/>
        <v>96898540</v>
      </c>
      <c r="P47" s="364">
        <f t="shared" si="10"/>
        <v>101190353</v>
      </c>
      <c r="Q47" s="885">
        <f>+P47/O47</f>
        <v>1.0442918231791727</v>
      </c>
      <c r="R47" s="364">
        <f t="shared" si="10"/>
        <v>5.583161185863436E-06</v>
      </c>
      <c r="S47" s="364">
        <f t="shared" si="10"/>
        <v>5192275</v>
      </c>
      <c r="T47" s="364">
        <f>T34+T40+T45+T46</f>
        <v>5192275</v>
      </c>
      <c r="U47" s="885">
        <f>+T47/S47</f>
        <v>1</v>
      </c>
      <c r="V47" s="364">
        <f>V34+V40+V45+V46</f>
        <v>5776781</v>
      </c>
      <c r="W47" s="364">
        <f>W34+W40+W45+W46</f>
        <v>5776781</v>
      </c>
      <c r="X47" s="364">
        <f>X34+X40+X45+X46</f>
        <v>5776781</v>
      </c>
      <c r="Y47" s="364">
        <f>Y34+Y40+Y45+Y46</f>
        <v>5776781</v>
      </c>
      <c r="Z47" s="364">
        <f>Z34+Z40+Z45+Z46</f>
        <v>5538912</v>
      </c>
      <c r="AA47" s="885">
        <f>+Z47/Y47</f>
        <v>0.958823261605382</v>
      </c>
      <c r="AB47" s="296">
        <f>AA47/Z47</f>
        <v>1.7310678732671362E-07</v>
      </c>
      <c r="AC47" s="383">
        <f>AB47/Z47</f>
        <v>3.1252850257724553E-14</v>
      </c>
      <c r="AD47" s="155">
        <f>AD34+AD40+AD45+AD46</f>
        <v>0</v>
      </c>
    </row>
    <row r="48" spans="4:30" ht="13.5" thickBot="1">
      <c r="D48" s="384"/>
      <c r="E48" s="384"/>
      <c r="F48" s="384"/>
      <c r="G48" s="384"/>
      <c r="H48" s="384"/>
      <c r="I48" s="911"/>
      <c r="J48" s="385"/>
      <c r="K48" s="621"/>
      <c r="L48" s="384"/>
      <c r="M48" s="384"/>
      <c r="N48" s="384"/>
      <c r="O48" s="384"/>
      <c r="P48" s="384"/>
      <c r="Q48" s="911"/>
      <c r="R48" s="385"/>
      <c r="S48" s="384"/>
      <c r="T48" s="384"/>
      <c r="U48" s="384"/>
      <c r="V48" s="384"/>
      <c r="W48" s="384"/>
      <c r="X48" s="384"/>
      <c r="Y48" s="384"/>
      <c r="Z48" s="384"/>
      <c r="AA48" s="384"/>
      <c r="AB48" s="386"/>
      <c r="AD48" s="386"/>
    </row>
    <row r="49" spans="1:30" ht="13.5" thickBot="1">
      <c r="A49" s="157" t="s">
        <v>150</v>
      </c>
      <c r="B49" s="158"/>
      <c r="C49" s="373"/>
      <c r="D49" s="387">
        <v>17</v>
      </c>
      <c r="E49" s="387">
        <v>17</v>
      </c>
      <c r="F49" s="387">
        <v>17</v>
      </c>
      <c r="G49" s="387">
        <v>16</v>
      </c>
      <c r="H49" s="387">
        <v>16</v>
      </c>
      <c r="I49" s="892">
        <f>+H49/G49</f>
        <v>1</v>
      </c>
      <c r="J49" s="296"/>
      <c r="K49" s="172"/>
      <c r="L49" s="387">
        <v>17</v>
      </c>
      <c r="M49" s="387">
        <v>17</v>
      </c>
      <c r="N49" s="387">
        <v>17</v>
      </c>
      <c r="O49" s="387">
        <v>16</v>
      </c>
      <c r="P49" s="387">
        <v>16</v>
      </c>
      <c r="Q49" s="892">
        <f>+P49/O49</f>
        <v>1</v>
      </c>
      <c r="R49" s="296"/>
      <c r="S49" s="387">
        <v>0</v>
      </c>
      <c r="T49" s="387"/>
      <c r="U49" s="387"/>
      <c r="V49" s="387">
        <v>0</v>
      </c>
      <c r="W49" s="387">
        <v>0</v>
      </c>
      <c r="X49" s="387">
        <v>0</v>
      </c>
      <c r="Y49" s="387">
        <v>0</v>
      </c>
      <c r="Z49" s="387">
        <v>0</v>
      </c>
      <c r="AA49" s="387"/>
      <c r="AB49" s="296" t="e">
        <f>AA49/Z49</f>
        <v>#DIV/0!</v>
      </c>
      <c r="AC49" s="172"/>
      <c r="AD49" s="376"/>
    </row>
    <row r="50" spans="1:30" ht="13.5" thickBot="1">
      <c r="A50" s="157" t="s">
        <v>151</v>
      </c>
      <c r="B50" s="158"/>
      <c r="C50" s="373"/>
      <c r="D50" s="387">
        <v>0</v>
      </c>
      <c r="E50" s="387">
        <v>0</v>
      </c>
      <c r="F50" s="387">
        <v>0</v>
      </c>
      <c r="G50" s="387">
        <v>0</v>
      </c>
      <c r="H50" s="387">
        <v>0</v>
      </c>
      <c r="I50" s="892">
        <v>0</v>
      </c>
      <c r="J50" s="296"/>
      <c r="K50" s="172"/>
      <c r="L50" s="387">
        <v>0</v>
      </c>
      <c r="M50" s="387">
        <v>0</v>
      </c>
      <c r="N50" s="387">
        <v>0</v>
      </c>
      <c r="O50" s="387">
        <v>0</v>
      </c>
      <c r="P50" s="387">
        <v>0</v>
      </c>
      <c r="Q50" s="387">
        <v>0</v>
      </c>
      <c r="R50" s="296"/>
      <c r="S50" s="387">
        <v>0</v>
      </c>
      <c r="T50" s="387"/>
      <c r="U50" s="387"/>
      <c r="V50" s="387">
        <v>0</v>
      </c>
      <c r="W50" s="387">
        <v>0</v>
      </c>
      <c r="X50" s="387">
        <v>0</v>
      </c>
      <c r="Y50" s="387">
        <v>0</v>
      </c>
      <c r="Z50" s="387">
        <v>0</v>
      </c>
      <c r="AA50" s="387"/>
      <c r="AB50" s="376"/>
      <c r="AC50" s="172"/>
      <c r="AD50" s="376"/>
    </row>
    <row r="51" spans="6:21" ht="7.5" customHeight="1">
      <c r="F51" s="174"/>
      <c r="G51" s="174"/>
      <c r="H51" s="174"/>
      <c r="I51" s="174"/>
      <c r="J51" s="174"/>
      <c r="K51" s="174"/>
      <c r="N51" s="174"/>
      <c r="O51" s="174"/>
      <c r="P51" s="174"/>
      <c r="Q51" s="174"/>
      <c r="R51" s="174"/>
      <c r="S51" s="174"/>
      <c r="T51" s="174"/>
      <c r="U51" s="174"/>
    </row>
    <row r="52" spans="1:21" ht="12.75" hidden="1">
      <c r="A52" s="1440" t="s">
        <v>211</v>
      </c>
      <c r="B52" s="1440"/>
      <c r="C52" s="1440"/>
      <c r="F52" s="174"/>
      <c r="J52" s="94">
        <v>100213</v>
      </c>
      <c r="N52" s="174"/>
      <c r="O52" s="174"/>
      <c r="P52" s="174"/>
      <c r="Q52" s="174"/>
      <c r="R52" s="174"/>
      <c r="S52" s="174"/>
      <c r="T52" s="174"/>
      <c r="U52" s="174"/>
    </row>
    <row r="53" spans="4:11" ht="12.75">
      <c r="D53" s="174">
        <v>0</v>
      </c>
      <c r="E53" s="174"/>
      <c r="F53" s="174"/>
      <c r="G53" s="174"/>
      <c r="H53" s="174"/>
      <c r="I53" s="174"/>
      <c r="J53" s="174"/>
      <c r="K53" s="174"/>
    </row>
  </sheetData>
  <sheetProtection/>
  <mergeCells count="8">
    <mergeCell ref="C1:Z1"/>
    <mergeCell ref="A5:B5"/>
    <mergeCell ref="A3:V3"/>
    <mergeCell ref="A52:C52"/>
    <mergeCell ref="D5:K5"/>
    <mergeCell ref="L5:R5"/>
    <mergeCell ref="V5:AC5"/>
    <mergeCell ref="S5:U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25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58"/>
  <sheetViews>
    <sheetView workbookViewId="0" topLeftCell="C1">
      <selection activeCell="P10" sqref="P10"/>
    </sheetView>
  </sheetViews>
  <sheetFormatPr defaultColWidth="9.140625" defaultRowHeight="12.75"/>
  <cols>
    <col min="1" max="1" width="8.28125" style="246" customWidth="1"/>
    <col min="2" max="2" width="8.28125" style="243" customWidth="1"/>
    <col min="3" max="3" width="52.00390625" style="243" customWidth="1"/>
    <col min="4" max="4" width="13.28125" style="243" customWidth="1"/>
    <col min="5" max="5" width="11.28125" style="243" hidden="1" customWidth="1"/>
    <col min="6" max="6" width="11.00390625" style="243" hidden="1" customWidth="1"/>
    <col min="7" max="7" width="12.140625" style="243" customWidth="1"/>
    <col min="8" max="8" width="12.28125" style="243" customWidth="1"/>
    <col min="9" max="9" width="13.00390625" style="243" customWidth="1"/>
    <col min="10" max="10" width="9.8515625" style="243" hidden="1" customWidth="1"/>
    <col min="11" max="11" width="9.7109375" style="243" hidden="1" customWidth="1"/>
    <col min="12" max="12" width="13.7109375" style="243" customWidth="1"/>
    <col min="13" max="13" width="11.28125" style="243" hidden="1" customWidth="1"/>
    <col min="14" max="14" width="14.00390625" style="243" hidden="1" customWidth="1"/>
    <col min="15" max="15" width="11.28125" style="243" customWidth="1"/>
    <col min="16" max="16" width="12.28125" style="243" customWidth="1"/>
    <col min="17" max="17" width="13.00390625" style="243" customWidth="1"/>
    <col min="18" max="18" width="8.421875" style="243" hidden="1" customWidth="1"/>
    <col min="19" max="19" width="13.57421875" style="243" bestFit="1" customWidth="1"/>
    <col min="20" max="20" width="6.28125" style="243" hidden="1" customWidth="1"/>
    <col min="21" max="21" width="7.140625" style="243" hidden="1" customWidth="1"/>
    <col min="22" max="22" width="8.57421875" style="243" customWidth="1"/>
    <col min="23" max="23" width="13.28125" style="243" customWidth="1"/>
    <col min="24" max="16384" width="9.140625" style="243" customWidth="1"/>
  </cols>
  <sheetData>
    <row r="1" spans="1:22" s="84" customFormat="1" ht="21" customHeight="1">
      <c r="A1" s="83"/>
      <c r="C1" s="85"/>
      <c r="D1" s="86"/>
      <c r="E1" s="86"/>
      <c r="F1" s="86"/>
      <c r="G1" s="86"/>
      <c r="H1" s="86"/>
      <c r="I1" s="86"/>
      <c r="J1" s="86"/>
      <c r="K1" s="86"/>
      <c r="L1" s="1436" t="s">
        <v>649</v>
      </c>
      <c r="M1" s="1436"/>
      <c r="N1" s="1436"/>
      <c r="O1" s="1436"/>
      <c r="P1" s="1436"/>
      <c r="Q1" s="1436"/>
      <c r="R1" s="1436"/>
      <c r="S1" s="1436"/>
      <c r="T1" s="1436"/>
      <c r="U1" s="1436"/>
      <c r="V1" s="1436"/>
    </row>
    <row r="2" spans="1:11" s="84" customFormat="1" ht="21" customHeight="1">
      <c r="A2" s="83"/>
      <c r="C2" s="88"/>
      <c r="D2" s="87"/>
      <c r="E2" s="87"/>
      <c r="F2" s="87"/>
      <c r="G2" s="87"/>
      <c r="H2" s="87"/>
      <c r="I2" s="87"/>
      <c r="J2" s="87"/>
      <c r="K2" s="87"/>
    </row>
    <row r="3" spans="1:19" s="89" customFormat="1" ht="25.5" customHeight="1">
      <c r="A3" s="1439" t="s">
        <v>215</v>
      </c>
      <c r="B3" s="1439"/>
      <c r="C3" s="1439"/>
      <c r="D3" s="1439"/>
      <c r="E3" s="1439"/>
      <c r="F3" s="1439"/>
      <c r="G3" s="1439"/>
      <c r="H3" s="1439"/>
      <c r="I3" s="1439"/>
      <c r="J3" s="1439"/>
      <c r="K3" s="1439"/>
      <c r="L3" s="1439"/>
      <c r="M3" s="1439"/>
      <c r="N3" s="1439"/>
      <c r="O3" s="1439"/>
      <c r="P3" s="1439"/>
      <c r="Q3" s="1439"/>
      <c r="R3" s="1439"/>
      <c r="S3" s="1439"/>
    </row>
    <row r="4" spans="1:19" s="92" customFormat="1" ht="15.75" customHeight="1" thickBot="1">
      <c r="A4" s="90"/>
      <c r="B4" s="90"/>
      <c r="C4" s="90"/>
      <c r="S4" s="91" t="s">
        <v>441</v>
      </c>
    </row>
    <row r="5" spans="1:23" s="92" customFormat="1" ht="41.25" customHeight="1" thickBot="1">
      <c r="A5" s="90"/>
      <c r="B5" s="90"/>
      <c r="C5" s="90"/>
      <c r="D5" s="1447" t="s">
        <v>5</v>
      </c>
      <c r="E5" s="1448"/>
      <c r="F5" s="1448"/>
      <c r="G5" s="1448"/>
      <c r="H5" s="1448"/>
      <c r="I5" s="1448"/>
      <c r="J5" s="1448"/>
      <c r="K5" s="1449"/>
      <c r="L5" s="1447" t="s">
        <v>105</v>
      </c>
      <c r="M5" s="1448"/>
      <c r="N5" s="1448"/>
      <c r="O5" s="1448"/>
      <c r="P5" s="1448"/>
      <c r="Q5" s="1448"/>
      <c r="R5" s="1449"/>
      <c r="S5" s="1447" t="s">
        <v>153</v>
      </c>
      <c r="T5" s="1448"/>
      <c r="U5" s="1448"/>
      <c r="V5" s="1448"/>
      <c r="W5" s="1448"/>
    </row>
    <row r="6" spans="1:23" ht="13.5" thickBot="1">
      <c r="A6" s="1437" t="s">
        <v>107</v>
      </c>
      <c r="B6" s="1438"/>
      <c r="C6" s="388" t="s">
        <v>108</v>
      </c>
      <c r="D6" s="378" t="s">
        <v>65</v>
      </c>
      <c r="E6" s="93" t="s">
        <v>227</v>
      </c>
      <c r="F6" s="93" t="s">
        <v>230</v>
      </c>
      <c r="G6" s="93" t="s">
        <v>232</v>
      </c>
      <c r="H6" s="388" t="s">
        <v>235</v>
      </c>
      <c r="I6" s="388" t="s">
        <v>236</v>
      </c>
      <c r="J6" s="349" t="s">
        <v>236</v>
      </c>
      <c r="K6" s="348" t="s">
        <v>248</v>
      </c>
      <c r="L6" s="378" t="s">
        <v>65</v>
      </c>
      <c r="M6" s="93" t="s">
        <v>227</v>
      </c>
      <c r="N6" s="93" t="s">
        <v>230</v>
      </c>
      <c r="O6" s="93" t="s">
        <v>232</v>
      </c>
      <c r="P6" s="388" t="s">
        <v>235</v>
      </c>
      <c r="Q6" s="388" t="s">
        <v>236</v>
      </c>
      <c r="R6" s="349" t="s">
        <v>236</v>
      </c>
      <c r="S6" s="378" t="s">
        <v>65</v>
      </c>
      <c r="T6" s="93" t="s">
        <v>227</v>
      </c>
      <c r="U6" s="93" t="s">
        <v>230</v>
      </c>
      <c r="V6" s="93" t="s">
        <v>232</v>
      </c>
      <c r="W6" s="93" t="s">
        <v>235</v>
      </c>
    </row>
    <row r="7" spans="1:23" s="98" customFormat="1" ht="12.75" customHeight="1" thickBot="1">
      <c r="A7" s="95">
        <v>1</v>
      </c>
      <c r="B7" s="96">
        <v>2</v>
      </c>
      <c r="C7" s="233">
        <v>3</v>
      </c>
      <c r="D7" s="95">
        <v>4</v>
      </c>
      <c r="E7" s="96">
        <v>5</v>
      </c>
      <c r="F7" s="96">
        <v>6</v>
      </c>
      <c r="G7" s="96">
        <v>7</v>
      </c>
      <c r="H7" s="233">
        <v>8</v>
      </c>
      <c r="I7" s="233">
        <v>9</v>
      </c>
      <c r="J7" s="97">
        <v>9</v>
      </c>
      <c r="K7" s="809">
        <v>9</v>
      </c>
      <c r="L7" s="95">
        <v>10</v>
      </c>
      <c r="M7" s="96">
        <v>9</v>
      </c>
      <c r="N7" s="96">
        <v>10</v>
      </c>
      <c r="O7" s="96">
        <v>11</v>
      </c>
      <c r="P7" s="233">
        <v>12</v>
      </c>
      <c r="Q7" s="97">
        <v>13</v>
      </c>
      <c r="R7" s="395">
        <v>15</v>
      </c>
      <c r="S7" s="95">
        <v>14</v>
      </c>
      <c r="T7" s="96">
        <v>15</v>
      </c>
      <c r="U7" s="97">
        <v>16</v>
      </c>
      <c r="V7" s="97">
        <v>15</v>
      </c>
      <c r="W7" s="97">
        <v>16</v>
      </c>
    </row>
    <row r="8" spans="1:23" s="98" customFormat="1" ht="15.75" customHeight="1" thickBot="1">
      <c r="A8" s="99"/>
      <c r="B8" s="100"/>
      <c r="C8" s="100" t="s">
        <v>109</v>
      </c>
      <c r="D8" s="355"/>
      <c r="E8" s="355"/>
      <c r="F8" s="400"/>
      <c r="G8" s="400"/>
      <c r="H8" s="665"/>
      <c r="I8" s="665"/>
      <c r="J8" s="630"/>
      <c r="K8" s="623"/>
      <c r="L8" s="355"/>
      <c r="M8" s="355"/>
      <c r="N8" s="214"/>
      <c r="O8" s="214"/>
      <c r="P8" s="666"/>
      <c r="Q8" s="215"/>
      <c r="R8" s="396"/>
      <c r="S8" s="402"/>
      <c r="T8" s="214"/>
      <c r="U8" s="215"/>
      <c r="V8" s="215"/>
      <c r="W8" s="215"/>
    </row>
    <row r="9" spans="1:23" s="104" customFormat="1" ht="12" customHeight="1" thickBot="1">
      <c r="A9" s="95" t="s">
        <v>27</v>
      </c>
      <c r="B9" s="101"/>
      <c r="C9" s="389" t="s">
        <v>335</v>
      </c>
      <c r="D9" s="356">
        <f>SUM(D10:D17)</f>
        <v>34508735</v>
      </c>
      <c r="E9" s="356">
        <f>SUM(E10:E17)</f>
        <v>34947914</v>
      </c>
      <c r="F9" s="356">
        <f>SUM(F10:F17)</f>
        <v>34947914</v>
      </c>
      <c r="G9" s="356">
        <f>SUM(G10:G17)</f>
        <v>35075626</v>
      </c>
      <c r="H9" s="356">
        <f>SUM(H10:H17)</f>
        <v>34726381</v>
      </c>
      <c r="I9" s="873">
        <f>+H9/G9</f>
        <v>0.990043085759895</v>
      </c>
      <c r="J9" s="296"/>
      <c r="K9" s="216"/>
      <c r="L9" s="356">
        <f>SUM(L10:L17)</f>
        <v>34508735</v>
      </c>
      <c r="M9" s="356">
        <f>SUM(M10:M17)</f>
        <v>34947914</v>
      </c>
      <c r="N9" s="356">
        <f>SUM(N10:N17)</f>
        <v>34947914</v>
      </c>
      <c r="O9" s="356">
        <f>SUM(O10:O17)</f>
        <v>35075626</v>
      </c>
      <c r="P9" s="356">
        <f>SUM(P10:P17)</f>
        <v>34726381</v>
      </c>
      <c r="Q9" s="873">
        <f>+P9/O9</f>
        <v>0.990043085759895</v>
      </c>
      <c r="R9" s="296">
        <f>Q9/P9</f>
        <v>2.85098261681773E-08</v>
      </c>
      <c r="S9" s="356"/>
      <c r="T9" s="161"/>
      <c r="U9" s="103"/>
      <c r="V9" s="103"/>
      <c r="W9" s="103"/>
    </row>
    <row r="10" spans="1:23" s="104" customFormat="1" ht="12" customHeight="1">
      <c r="A10" s="105"/>
      <c r="B10" s="116" t="s">
        <v>36</v>
      </c>
      <c r="C10" s="722" t="s">
        <v>459</v>
      </c>
      <c r="D10" s="725">
        <v>15807440</v>
      </c>
      <c r="E10" s="725">
        <v>17877140</v>
      </c>
      <c r="F10" s="725">
        <v>17877140</v>
      </c>
      <c r="G10" s="725">
        <v>18696021</v>
      </c>
      <c r="H10" s="725">
        <f>17561509+1132275</f>
        <v>18693784</v>
      </c>
      <c r="I10" s="874">
        <f aca="true" t="shared" si="0" ref="I10:I16">+H10/G10</f>
        <v>0.9998803488720942</v>
      </c>
      <c r="J10" s="698"/>
      <c r="K10" s="714"/>
      <c r="L10" s="725">
        <v>15807440</v>
      </c>
      <c r="M10" s="725">
        <v>17877140</v>
      </c>
      <c r="N10" s="725">
        <v>17877140</v>
      </c>
      <c r="O10" s="725">
        <v>18696021</v>
      </c>
      <c r="P10" s="725">
        <f>17561509+1132275</f>
        <v>18693784</v>
      </c>
      <c r="Q10" s="874">
        <f>+P10/O10</f>
        <v>0.9998803488720942</v>
      </c>
      <c r="R10" s="698"/>
      <c r="S10" s="700"/>
      <c r="T10" s="697"/>
      <c r="U10" s="699"/>
      <c r="V10" s="699"/>
      <c r="W10" s="699"/>
    </row>
    <row r="11" spans="1:23" s="104" customFormat="1" ht="12" customHeight="1">
      <c r="A11" s="107"/>
      <c r="B11" s="106" t="s">
        <v>37</v>
      </c>
      <c r="C11" s="723" t="s">
        <v>333</v>
      </c>
      <c r="D11" s="726">
        <v>5500000</v>
      </c>
      <c r="E11" s="726">
        <v>5500000</v>
      </c>
      <c r="F11" s="726">
        <v>5500000</v>
      </c>
      <c r="G11" s="726">
        <v>3500000</v>
      </c>
      <c r="H11" s="726">
        <f>10049+3162663</f>
        <v>3172712</v>
      </c>
      <c r="I11" s="875">
        <f t="shared" si="0"/>
        <v>0.9064891428571429</v>
      </c>
      <c r="J11" s="704"/>
      <c r="K11" s="715"/>
      <c r="L11" s="726">
        <v>5500000</v>
      </c>
      <c r="M11" s="726">
        <v>5500000</v>
      </c>
      <c r="N11" s="726">
        <v>5500000</v>
      </c>
      <c r="O11" s="726">
        <v>3500000</v>
      </c>
      <c r="P11" s="726">
        <f>10049+3162663</f>
        <v>3172712</v>
      </c>
      <c r="Q11" s="875">
        <f>+P11/O11</f>
        <v>0.9064891428571429</v>
      </c>
      <c r="R11" s="704"/>
      <c r="S11" s="706"/>
      <c r="T11" s="702"/>
      <c r="U11" s="705"/>
      <c r="V11" s="705"/>
      <c r="W11" s="705"/>
    </row>
    <row r="12" spans="1:23" s="104" customFormat="1" ht="12" customHeight="1">
      <c r="A12" s="107"/>
      <c r="B12" s="106" t="s">
        <v>38</v>
      </c>
      <c r="C12" s="723" t="s">
        <v>461</v>
      </c>
      <c r="D12" s="726">
        <v>1650000</v>
      </c>
      <c r="E12" s="726">
        <v>0</v>
      </c>
      <c r="F12" s="726">
        <v>0</v>
      </c>
      <c r="G12" s="726">
        <v>0</v>
      </c>
      <c r="H12" s="726"/>
      <c r="I12" s="875"/>
      <c r="J12" s="704"/>
      <c r="K12" s="715"/>
      <c r="L12" s="726">
        <v>1650000</v>
      </c>
      <c r="M12" s="726">
        <v>0</v>
      </c>
      <c r="N12" s="726">
        <v>0</v>
      </c>
      <c r="O12" s="726">
        <v>0</v>
      </c>
      <c r="P12" s="726"/>
      <c r="Q12" s="875"/>
      <c r="R12" s="704"/>
      <c r="S12" s="706"/>
      <c r="T12" s="702"/>
      <c r="U12" s="705"/>
      <c r="V12" s="705"/>
      <c r="W12" s="705"/>
    </row>
    <row r="13" spans="1:23" s="104" customFormat="1" ht="12" customHeight="1">
      <c r="A13" s="107"/>
      <c r="B13" s="106" t="s">
        <v>49</v>
      </c>
      <c r="C13" s="723" t="s">
        <v>462</v>
      </c>
      <c r="D13" s="726">
        <v>5564271</v>
      </c>
      <c r="E13" s="726">
        <v>5564271</v>
      </c>
      <c r="F13" s="726">
        <v>5564271</v>
      </c>
      <c r="G13" s="726">
        <v>5830465</v>
      </c>
      <c r="H13" s="726">
        <v>5814941</v>
      </c>
      <c r="I13" s="875">
        <f t="shared" si="0"/>
        <v>0.9973374336352246</v>
      </c>
      <c r="J13" s="704"/>
      <c r="K13" s="715"/>
      <c r="L13" s="726">
        <v>5564271</v>
      </c>
      <c r="M13" s="726">
        <v>5564271</v>
      </c>
      <c r="N13" s="726">
        <v>5564271</v>
      </c>
      <c r="O13" s="726">
        <v>5830465</v>
      </c>
      <c r="P13" s="726">
        <v>5814941</v>
      </c>
      <c r="Q13" s="875">
        <f>+P13/O13</f>
        <v>0.9973374336352246</v>
      </c>
      <c r="R13" s="704"/>
      <c r="S13" s="706"/>
      <c r="T13" s="702"/>
      <c r="U13" s="705"/>
      <c r="V13" s="705"/>
      <c r="W13" s="705"/>
    </row>
    <row r="14" spans="1:23" s="104" customFormat="1" ht="12" customHeight="1">
      <c r="A14" s="107"/>
      <c r="B14" s="106" t="s">
        <v>50</v>
      </c>
      <c r="C14" s="724" t="s">
        <v>463</v>
      </c>
      <c r="D14" s="727">
        <v>5987024</v>
      </c>
      <c r="E14" s="727">
        <v>5987024</v>
      </c>
      <c r="F14" s="727">
        <v>5987024</v>
      </c>
      <c r="G14" s="727">
        <v>6989479</v>
      </c>
      <c r="H14" s="727">
        <v>6985288</v>
      </c>
      <c r="I14" s="876">
        <f t="shared" si="0"/>
        <v>0.9994003844921775</v>
      </c>
      <c r="J14" s="711"/>
      <c r="K14" s="721"/>
      <c r="L14" s="727">
        <v>5987024</v>
      </c>
      <c r="M14" s="727">
        <v>5987024</v>
      </c>
      <c r="N14" s="727">
        <v>5987024</v>
      </c>
      <c r="O14" s="727">
        <v>6989479</v>
      </c>
      <c r="P14" s="727">
        <v>6985288</v>
      </c>
      <c r="Q14" s="876">
        <f>+P14/O14</f>
        <v>0.9994003844921775</v>
      </c>
      <c r="R14" s="711"/>
      <c r="S14" s="713"/>
      <c r="T14" s="709"/>
      <c r="U14" s="712"/>
      <c r="V14" s="712"/>
      <c r="W14" s="712"/>
    </row>
    <row r="15" spans="1:23" s="104" customFormat="1" ht="12" customHeight="1">
      <c r="A15" s="107"/>
      <c r="B15" s="106" t="s">
        <v>464</v>
      </c>
      <c r="C15" s="724" t="s">
        <v>310</v>
      </c>
      <c r="D15" s="713"/>
      <c r="E15" s="727">
        <v>30</v>
      </c>
      <c r="F15" s="727">
        <v>30</v>
      </c>
      <c r="G15" s="727">
        <v>30</v>
      </c>
      <c r="H15" s="727">
        <v>25</v>
      </c>
      <c r="I15" s="876">
        <f t="shared" si="0"/>
        <v>0.8333333333333334</v>
      </c>
      <c r="J15" s="779"/>
      <c r="K15" s="780"/>
      <c r="L15" s="713"/>
      <c r="M15" s="727">
        <v>30</v>
      </c>
      <c r="N15" s="727">
        <v>30</v>
      </c>
      <c r="O15" s="727">
        <v>30</v>
      </c>
      <c r="P15" s="727">
        <v>25</v>
      </c>
      <c r="Q15" s="876">
        <f>+P15/O15</f>
        <v>0.8333333333333334</v>
      </c>
      <c r="R15" s="711"/>
      <c r="S15" s="713"/>
      <c r="T15" s="709"/>
      <c r="U15" s="712"/>
      <c r="V15" s="712"/>
      <c r="W15" s="712"/>
    </row>
    <row r="16" spans="1:23" s="104" customFormat="1" ht="12" customHeight="1">
      <c r="A16" s="107"/>
      <c r="B16" s="106" t="s">
        <v>465</v>
      </c>
      <c r="C16" s="708" t="s">
        <v>460</v>
      </c>
      <c r="D16" s="713"/>
      <c r="E16" s="727">
        <v>19449</v>
      </c>
      <c r="F16" s="727">
        <v>19449</v>
      </c>
      <c r="G16" s="727">
        <v>59631</v>
      </c>
      <c r="H16" s="727">
        <f>53083+6548</f>
        <v>59631</v>
      </c>
      <c r="I16" s="876">
        <f t="shared" si="0"/>
        <v>1</v>
      </c>
      <c r="J16" s="779"/>
      <c r="K16" s="780"/>
      <c r="L16" s="713"/>
      <c r="M16" s="727">
        <v>19449</v>
      </c>
      <c r="N16" s="727">
        <v>19449</v>
      </c>
      <c r="O16" s="727">
        <v>59631</v>
      </c>
      <c r="P16" s="727">
        <f>53083+6548</f>
        <v>59631</v>
      </c>
      <c r="Q16" s="876">
        <f>+P16/O16</f>
        <v>1</v>
      </c>
      <c r="R16" s="711"/>
      <c r="S16" s="713"/>
      <c r="T16" s="709"/>
      <c r="U16" s="712"/>
      <c r="V16" s="712"/>
      <c r="W16" s="712"/>
    </row>
    <row r="17" spans="1:23" s="104" customFormat="1" ht="12" customHeight="1" thickBot="1">
      <c r="A17" s="728"/>
      <c r="B17" s="729"/>
      <c r="C17" s="716"/>
      <c r="D17" s="717"/>
      <c r="E17" s="717"/>
      <c r="F17" s="717"/>
      <c r="G17" s="717"/>
      <c r="H17" s="781"/>
      <c r="I17" s="877"/>
      <c r="J17" s="782"/>
      <c r="K17" s="783"/>
      <c r="L17" s="717"/>
      <c r="M17" s="717"/>
      <c r="N17" s="717"/>
      <c r="O17" s="717"/>
      <c r="P17" s="781"/>
      <c r="Q17" s="877"/>
      <c r="R17" s="718"/>
      <c r="S17" s="717"/>
      <c r="T17" s="719"/>
      <c r="U17" s="720"/>
      <c r="V17" s="720"/>
      <c r="W17" s="720"/>
    </row>
    <row r="18" spans="1:23" s="104" customFormat="1" ht="12" customHeight="1" thickBot="1">
      <c r="A18" s="95" t="s">
        <v>28</v>
      </c>
      <c r="B18" s="101"/>
      <c r="C18" s="389" t="s">
        <v>116</v>
      </c>
      <c r="D18" s="356">
        <f>D19+D21</f>
        <v>0</v>
      </c>
      <c r="E18" s="356">
        <f>E19+E21</f>
        <v>0</v>
      </c>
      <c r="F18" s="356">
        <f>F19+F21</f>
        <v>0</v>
      </c>
      <c r="G18" s="356">
        <f>G19+G21</f>
        <v>0</v>
      </c>
      <c r="H18" s="356">
        <f>H19+H21</f>
        <v>0</v>
      </c>
      <c r="I18" s="873"/>
      <c r="J18" s="296"/>
      <c r="K18" s="216">
        <f aca="true" t="shared" si="1" ref="K18:P18">K19+K21</f>
        <v>0</v>
      </c>
      <c r="L18" s="356">
        <f t="shared" si="1"/>
        <v>0</v>
      </c>
      <c r="M18" s="356">
        <f t="shared" si="1"/>
        <v>0</v>
      </c>
      <c r="N18" s="356">
        <f t="shared" si="1"/>
        <v>0</v>
      </c>
      <c r="O18" s="356">
        <f t="shared" si="1"/>
        <v>0</v>
      </c>
      <c r="P18" s="356">
        <f t="shared" si="1"/>
        <v>0</v>
      </c>
      <c r="Q18" s="873"/>
      <c r="R18" s="296"/>
      <c r="S18" s="356"/>
      <c r="T18" s="161"/>
      <c r="U18" s="103"/>
      <c r="V18" s="103"/>
      <c r="W18" s="103"/>
    </row>
    <row r="19" spans="1:23" s="110" customFormat="1" ht="12" customHeight="1">
      <c r="A19" s="107"/>
      <c r="B19" s="106" t="s">
        <v>39</v>
      </c>
      <c r="C19" s="368" t="s">
        <v>72</v>
      </c>
      <c r="D19" s="358"/>
      <c r="E19" s="358"/>
      <c r="F19" s="358"/>
      <c r="G19" s="358"/>
      <c r="H19" s="358"/>
      <c r="I19" s="878"/>
      <c r="J19" s="592"/>
      <c r="K19" s="624"/>
      <c r="L19" s="358"/>
      <c r="M19" s="358"/>
      <c r="N19" s="358"/>
      <c r="O19" s="358"/>
      <c r="P19" s="358"/>
      <c r="Q19" s="878"/>
      <c r="R19" s="592"/>
      <c r="S19" s="358"/>
      <c r="T19" s="162"/>
      <c r="U19" s="109"/>
      <c r="V19" s="109"/>
      <c r="W19" s="109"/>
    </row>
    <row r="20" spans="1:23" s="110" customFormat="1" ht="12" customHeight="1">
      <c r="A20" s="107"/>
      <c r="B20" s="106" t="s">
        <v>40</v>
      </c>
      <c r="C20" s="369" t="s">
        <v>119</v>
      </c>
      <c r="D20" s="358"/>
      <c r="E20" s="358"/>
      <c r="F20" s="358"/>
      <c r="G20" s="358"/>
      <c r="H20" s="358"/>
      <c r="I20" s="878"/>
      <c r="J20" s="592"/>
      <c r="K20" s="624"/>
      <c r="L20" s="358"/>
      <c r="M20" s="358"/>
      <c r="N20" s="358"/>
      <c r="O20" s="358"/>
      <c r="P20" s="358"/>
      <c r="Q20" s="878"/>
      <c r="R20" s="592"/>
      <c r="S20" s="358"/>
      <c r="T20" s="162"/>
      <c r="U20" s="109"/>
      <c r="V20" s="109"/>
      <c r="W20" s="109"/>
    </row>
    <row r="21" spans="1:23" s="110" customFormat="1" ht="12" customHeight="1">
      <c r="A21" s="107"/>
      <c r="B21" s="106" t="s">
        <v>41</v>
      </c>
      <c r="C21" s="369" t="s">
        <v>73</v>
      </c>
      <c r="D21" s="358"/>
      <c r="E21" s="358"/>
      <c r="F21" s="358"/>
      <c r="G21" s="358"/>
      <c r="H21" s="358"/>
      <c r="I21" s="878"/>
      <c r="J21" s="592"/>
      <c r="K21" s="624"/>
      <c r="L21" s="358"/>
      <c r="M21" s="358"/>
      <c r="N21" s="358"/>
      <c r="O21" s="358"/>
      <c r="P21" s="358"/>
      <c r="Q21" s="878"/>
      <c r="R21" s="592"/>
      <c r="S21" s="358"/>
      <c r="T21" s="162"/>
      <c r="U21" s="109"/>
      <c r="V21" s="109"/>
      <c r="W21" s="109"/>
    </row>
    <row r="22" spans="1:23" s="110" customFormat="1" ht="12" customHeight="1" thickBot="1">
      <c r="A22" s="107"/>
      <c r="B22" s="106" t="s">
        <v>271</v>
      </c>
      <c r="C22" s="369" t="s">
        <v>119</v>
      </c>
      <c r="D22" s="358"/>
      <c r="E22" s="358"/>
      <c r="F22" s="358"/>
      <c r="G22" s="358"/>
      <c r="H22" s="358"/>
      <c r="I22" s="878"/>
      <c r="J22" s="592"/>
      <c r="K22" s="624"/>
      <c r="L22" s="358"/>
      <c r="M22" s="358"/>
      <c r="N22" s="358"/>
      <c r="O22" s="358"/>
      <c r="P22" s="358"/>
      <c r="Q22" s="878"/>
      <c r="R22" s="592"/>
      <c r="S22" s="358"/>
      <c r="T22" s="162"/>
      <c r="U22" s="109"/>
      <c r="V22" s="109"/>
      <c r="W22" s="109"/>
    </row>
    <row r="23" spans="1:23" s="110" customFormat="1" ht="12" customHeight="1" thickBot="1">
      <c r="A23" s="113" t="s">
        <v>10</v>
      </c>
      <c r="B23" s="114"/>
      <c r="C23" s="367" t="s">
        <v>122</v>
      </c>
      <c r="D23" s="356">
        <f>SUM(D24:D25)</f>
        <v>0</v>
      </c>
      <c r="E23" s="356">
        <f>SUM(E24:E25)</f>
        <v>0</v>
      </c>
      <c r="F23" s="356">
        <f>SUM(F24:F25)</f>
        <v>0</v>
      </c>
      <c r="G23" s="356">
        <f>SUM(G24:G25)</f>
        <v>0</v>
      </c>
      <c r="H23" s="356">
        <f>SUM(H24:H25)</f>
        <v>0</v>
      </c>
      <c r="I23" s="873"/>
      <c r="J23" s="296"/>
      <c r="K23" s="216">
        <f aca="true" t="shared" si="2" ref="K23:P23">SUM(K24:K25)</f>
        <v>0</v>
      </c>
      <c r="L23" s="356">
        <f t="shared" si="2"/>
        <v>0</v>
      </c>
      <c r="M23" s="356">
        <f t="shared" si="2"/>
        <v>0</v>
      </c>
      <c r="N23" s="356">
        <f t="shared" si="2"/>
        <v>0</v>
      </c>
      <c r="O23" s="356">
        <f t="shared" si="2"/>
        <v>0</v>
      </c>
      <c r="P23" s="356">
        <f t="shared" si="2"/>
        <v>0</v>
      </c>
      <c r="Q23" s="873"/>
      <c r="R23" s="296"/>
      <c r="S23" s="356"/>
      <c r="T23" s="161"/>
      <c r="U23" s="103"/>
      <c r="V23" s="103"/>
      <c r="W23" s="103"/>
    </row>
    <row r="24" spans="1:23" s="104" customFormat="1" ht="12" customHeight="1">
      <c r="A24" s="115"/>
      <c r="B24" s="116" t="s">
        <v>42</v>
      </c>
      <c r="C24" s="390" t="s">
        <v>124</v>
      </c>
      <c r="D24" s="359"/>
      <c r="E24" s="359"/>
      <c r="F24" s="359"/>
      <c r="G24" s="359"/>
      <c r="H24" s="359"/>
      <c r="I24" s="879"/>
      <c r="J24" s="593"/>
      <c r="K24" s="625"/>
      <c r="L24" s="359"/>
      <c r="M24" s="359"/>
      <c r="N24" s="359"/>
      <c r="O24" s="359"/>
      <c r="P24" s="359"/>
      <c r="Q24" s="879"/>
      <c r="R24" s="593"/>
      <c r="S24" s="359"/>
      <c r="T24" s="163"/>
      <c r="U24" s="118"/>
      <c r="V24" s="118"/>
      <c r="W24" s="118"/>
    </row>
    <row r="25" spans="1:23" s="104" customFormat="1" ht="12" customHeight="1" thickBot="1">
      <c r="A25" s="119"/>
      <c r="B25" s="120" t="s">
        <v>43</v>
      </c>
      <c r="C25" s="391" t="s">
        <v>126</v>
      </c>
      <c r="D25" s="360"/>
      <c r="E25" s="360"/>
      <c r="F25" s="360"/>
      <c r="G25" s="360"/>
      <c r="H25" s="360"/>
      <c r="I25" s="880"/>
      <c r="J25" s="594"/>
      <c r="K25" s="626"/>
      <c r="L25" s="360"/>
      <c r="M25" s="360"/>
      <c r="N25" s="360"/>
      <c r="O25" s="360"/>
      <c r="P25" s="360"/>
      <c r="Q25" s="880"/>
      <c r="R25" s="594"/>
      <c r="S25" s="360"/>
      <c r="T25" s="164"/>
      <c r="U25" s="122"/>
      <c r="V25" s="122"/>
      <c r="W25" s="122"/>
    </row>
    <row r="26" spans="1:23" s="104" customFormat="1" ht="12" customHeight="1" thickBot="1">
      <c r="A26" s="113"/>
      <c r="B26" s="101"/>
      <c r="D26" s="361"/>
      <c r="E26" s="361"/>
      <c r="F26" s="361"/>
      <c r="G26" s="361"/>
      <c r="H26" s="361"/>
      <c r="I26" s="881"/>
      <c r="J26" s="595"/>
      <c r="K26" s="213"/>
      <c r="L26" s="361"/>
      <c r="M26" s="361"/>
      <c r="N26" s="361"/>
      <c r="O26" s="361"/>
      <c r="P26" s="361"/>
      <c r="Q26" s="881"/>
      <c r="R26" s="595"/>
      <c r="S26" s="361"/>
      <c r="T26" s="165"/>
      <c r="U26" s="123"/>
      <c r="V26" s="123"/>
      <c r="W26" s="123"/>
    </row>
    <row r="27" spans="1:23" s="104" customFormat="1" ht="12" customHeight="1" thickBot="1">
      <c r="A27" s="95" t="s">
        <v>11</v>
      </c>
      <c r="B27" s="124"/>
      <c r="C27" s="367" t="s">
        <v>272</v>
      </c>
      <c r="D27" s="356">
        <f>D9+D18+D23+D26</f>
        <v>34508735</v>
      </c>
      <c r="E27" s="356">
        <f>E9+E18+E23+E26</f>
        <v>34947914</v>
      </c>
      <c r="F27" s="356">
        <f>F9+F18+F23+F26</f>
        <v>34947914</v>
      </c>
      <c r="G27" s="356">
        <f>G9+G18+G23+G26</f>
        <v>35075626</v>
      </c>
      <c r="H27" s="356">
        <f>H9+H18+H23+H26</f>
        <v>34726381</v>
      </c>
      <c r="I27" s="873">
        <f aca="true" t="shared" si="3" ref="I27:I33">+H27/G27</f>
        <v>0.990043085759895</v>
      </c>
      <c r="J27" s="296">
        <f>I27/H27</f>
        <v>2.85098261681773E-08</v>
      </c>
      <c r="K27" s="216">
        <f aca="true" t="shared" si="4" ref="K27:P27">K9+K18+K23+K26</f>
        <v>0</v>
      </c>
      <c r="L27" s="356">
        <f t="shared" si="4"/>
        <v>34508735</v>
      </c>
      <c r="M27" s="356">
        <f t="shared" si="4"/>
        <v>34947914</v>
      </c>
      <c r="N27" s="356">
        <f t="shared" si="4"/>
        <v>34947914</v>
      </c>
      <c r="O27" s="356">
        <f t="shared" si="4"/>
        <v>35075626</v>
      </c>
      <c r="P27" s="356">
        <f t="shared" si="4"/>
        <v>34726381</v>
      </c>
      <c r="Q27" s="873">
        <f>+P27/O27</f>
        <v>0.990043085759895</v>
      </c>
      <c r="R27" s="296">
        <f>Q27/P27</f>
        <v>2.85098261681773E-08</v>
      </c>
      <c r="S27" s="356"/>
      <c r="T27" s="161"/>
      <c r="U27" s="103"/>
      <c r="V27" s="103"/>
      <c r="W27" s="103"/>
    </row>
    <row r="28" spans="1:23" s="110" customFormat="1" ht="12" customHeight="1" thickBot="1">
      <c r="A28" s="125" t="s">
        <v>12</v>
      </c>
      <c r="B28" s="104"/>
      <c r="C28" s="392" t="s">
        <v>273</v>
      </c>
      <c r="D28" s="362">
        <f>SUM(D29:D31)</f>
        <v>112607882</v>
      </c>
      <c r="E28" s="362">
        <f>SUM(E29:E31)</f>
        <v>117003480</v>
      </c>
      <c r="F28" s="362">
        <f>SUM(F29:F31)</f>
        <v>122862837</v>
      </c>
      <c r="G28" s="362">
        <f>SUM(G29:G31)</f>
        <v>104582210</v>
      </c>
      <c r="H28" s="362">
        <f>SUM(H29:H31)</f>
        <v>104582210</v>
      </c>
      <c r="I28" s="882">
        <f t="shared" si="3"/>
        <v>1</v>
      </c>
      <c r="J28" s="296">
        <f>I28/H28</f>
        <v>9.561855692282655E-09</v>
      </c>
      <c r="K28" s="217">
        <f aca="true" t="shared" si="5" ref="K28:P28">SUM(K29:K31)</f>
        <v>0</v>
      </c>
      <c r="L28" s="362">
        <f t="shared" si="5"/>
        <v>112607882</v>
      </c>
      <c r="M28" s="362">
        <f t="shared" si="5"/>
        <v>117003480</v>
      </c>
      <c r="N28" s="362">
        <f t="shared" si="5"/>
        <v>122862837</v>
      </c>
      <c r="O28" s="362">
        <f t="shared" si="5"/>
        <v>104582210</v>
      </c>
      <c r="P28" s="362">
        <f t="shared" si="5"/>
        <v>104582210</v>
      </c>
      <c r="Q28" s="882">
        <f>+P28/O28</f>
        <v>1</v>
      </c>
      <c r="R28" s="296">
        <f>Q28/P28</f>
        <v>9.561855692282655E-09</v>
      </c>
      <c r="S28" s="356"/>
      <c r="T28" s="161"/>
      <c r="U28" s="103"/>
      <c r="V28" s="103"/>
      <c r="W28" s="103"/>
    </row>
    <row r="29" spans="1:23" s="110" customFormat="1" ht="15" customHeight="1" thickBot="1">
      <c r="A29" s="105"/>
      <c r="B29" s="127" t="s">
        <v>44</v>
      </c>
      <c r="C29" s="390" t="s">
        <v>131</v>
      </c>
      <c r="D29" s="359">
        <v>1473161</v>
      </c>
      <c r="E29" s="359">
        <v>1473161</v>
      </c>
      <c r="F29" s="359">
        <v>1139771</v>
      </c>
      <c r="G29" s="359">
        <v>1139771</v>
      </c>
      <c r="H29" s="359">
        <v>1139771</v>
      </c>
      <c r="I29" s="879">
        <f t="shared" si="3"/>
        <v>1</v>
      </c>
      <c r="J29" s="622"/>
      <c r="K29" s="625"/>
      <c r="L29" s="359">
        <v>1473161</v>
      </c>
      <c r="M29" s="359">
        <v>1473161</v>
      </c>
      <c r="N29" s="359">
        <v>1139771</v>
      </c>
      <c r="O29" s="359">
        <v>1139771</v>
      </c>
      <c r="P29" s="359">
        <v>1139771</v>
      </c>
      <c r="Q29" s="879">
        <f>+P29/O29</f>
        <v>1</v>
      </c>
      <c r="R29" s="622">
        <f>Q29/P29</f>
        <v>8.77369225923453E-07</v>
      </c>
      <c r="S29" s="365"/>
      <c r="T29" s="366"/>
      <c r="U29" s="218"/>
      <c r="V29" s="218"/>
      <c r="W29" s="218"/>
    </row>
    <row r="30" spans="1:23" s="110" customFormat="1" ht="15" customHeight="1">
      <c r="A30" s="475"/>
      <c r="B30" s="476" t="s">
        <v>45</v>
      </c>
      <c r="C30" s="390" t="s">
        <v>442</v>
      </c>
      <c r="D30" s="477">
        <v>111134721</v>
      </c>
      <c r="E30" s="477">
        <v>115530319</v>
      </c>
      <c r="F30" s="477">
        <v>121723066</v>
      </c>
      <c r="G30" s="477">
        <v>103442439</v>
      </c>
      <c r="H30" s="477">
        <v>103442439</v>
      </c>
      <c r="I30" s="883">
        <f t="shared" si="3"/>
        <v>1</v>
      </c>
      <c r="J30" s="622"/>
      <c r="K30" s="627"/>
      <c r="L30" s="477">
        <v>111134721</v>
      </c>
      <c r="M30" s="477">
        <v>115530319</v>
      </c>
      <c r="N30" s="477">
        <v>121723066</v>
      </c>
      <c r="O30" s="477">
        <v>103442439</v>
      </c>
      <c r="P30" s="477">
        <v>103442439</v>
      </c>
      <c r="Q30" s="883">
        <f>+P30/O30</f>
        <v>1</v>
      </c>
      <c r="R30" s="622">
        <f>Q30/P30</f>
        <v>9.667212119776101E-09</v>
      </c>
      <c r="S30" s="479"/>
      <c r="T30" s="480"/>
      <c r="U30" s="481"/>
      <c r="V30" s="481"/>
      <c r="W30" s="481"/>
    </row>
    <row r="31" spans="1:23" s="110" customFormat="1" ht="15" customHeight="1" thickBot="1">
      <c r="A31" s="128"/>
      <c r="B31" s="129" t="s">
        <v>71</v>
      </c>
      <c r="C31" s="393" t="s">
        <v>133</v>
      </c>
      <c r="D31" s="363"/>
      <c r="E31" s="363"/>
      <c r="F31" s="363"/>
      <c r="G31" s="363"/>
      <c r="H31" s="363"/>
      <c r="I31" s="884"/>
      <c r="J31" s="596"/>
      <c r="K31" s="628"/>
      <c r="L31" s="363"/>
      <c r="M31" s="363"/>
      <c r="N31" s="363"/>
      <c r="O31" s="363"/>
      <c r="P31" s="363"/>
      <c r="Q31" s="884"/>
      <c r="R31" s="596"/>
      <c r="S31" s="363"/>
      <c r="T31" s="167"/>
      <c r="U31" s="131"/>
      <c r="V31" s="131"/>
      <c r="W31" s="131"/>
    </row>
    <row r="32" spans="1:23" ht="13.5" thickBot="1">
      <c r="A32" s="132" t="s">
        <v>13</v>
      </c>
      <c r="B32" s="244"/>
      <c r="C32" s="371" t="s">
        <v>134</v>
      </c>
      <c r="D32" s="361"/>
      <c r="E32" s="361"/>
      <c r="F32" s="361"/>
      <c r="G32" s="361"/>
      <c r="H32" s="361"/>
      <c r="I32" s="881"/>
      <c r="J32" s="595"/>
      <c r="K32" s="213"/>
      <c r="L32" s="361"/>
      <c r="M32" s="361"/>
      <c r="N32" s="361"/>
      <c r="O32" s="361"/>
      <c r="P32" s="361"/>
      <c r="Q32" s="881"/>
      <c r="R32" s="595"/>
      <c r="S32" s="361"/>
      <c r="T32" s="165"/>
      <c r="U32" s="123"/>
      <c r="V32" s="123"/>
      <c r="W32" s="123"/>
    </row>
    <row r="33" spans="1:23" s="98" customFormat="1" ht="16.5" customHeight="1" thickBot="1">
      <c r="A33" s="132">
        <v>7</v>
      </c>
      <c r="B33" s="245"/>
      <c r="C33" s="394" t="s">
        <v>274</v>
      </c>
      <c r="D33" s="364">
        <f>D27+D32+D28</f>
        <v>147116617</v>
      </c>
      <c r="E33" s="364">
        <f>E27+E32+E28</f>
        <v>151951394</v>
      </c>
      <c r="F33" s="364">
        <f>F27+F32+F28</f>
        <v>157810751</v>
      </c>
      <c r="G33" s="364">
        <f>G27+G32+G28</f>
        <v>139657836</v>
      </c>
      <c r="H33" s="364">
        <f>H27+H32+H28</f>
        <v>139308591</v>
      </c>
      <c r="I33" s="885">
        <f t="shared" si="3"/>
        <v>0.9974992810285275</v>
      </c>
      <c r="J33" s="296">
        <f>I33/H33</f>
        <v>7.160357260583645E-09</v>
      </c>
      <c r="K33" s="219">
        <f aca="true" t="shared" si="6" ref="K33:P33">K27+K32+K28</f>
        <v>0</v>
      </c>
      <c r="L33" s="364">
        <f t="shared" si="6"/>
        <v>147116617</v>
      </c>
      <c r="M33" s="364">
        <f t="shared" si="6"/>
        <v>151951394</v>
      </c>
      <c r="N33" s="364">
        <f t="shared" si="6"/>
        <v>157810751</v>
      </c>
      <c r="O33" s="364">
        <f t="shared" si="6"/>
        <v>139657836</v>
      </c>
      <c r="P33" s="364">
        <f t="shared" si="6"/>
        <v>139308591</v>
      </c>
      <c r="Q33" s="885">
        <f>+P33/O33</f>
        <v>0.9974992810285275</v>
      </c>
      <c r="R33" s="296">
        <f>Q33/P33</f>
        <v>7.160357260583645E-09</v>
      </c>
      <c r="S33" s="364"/>
      <c r="T33" s="168"/>
      <c r="U33" s="155"/>
      <c r="V33" s="155"/>
      <c r="W33" s="155"/>
    </row>
    <row r="34" spans="1:23" s="141" customFormat="1" ht="12" customHeight="1">
      <c r="A34" s="138"/>
      <c r="B34" s="138"/>
      <c r="C34" s="139"/>
      <c r="D34" s="140"/>
      <c r="E34" s="140"/>
      <c r="F34" s="140"/>
      <c r="G34" s="140"/>
      <c r="H34" s="140"/>
      <c r="I34" s="886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</row>
    <row r="35" spans="1:23" ht="12" customHeight="1" thickBot="1">
      <c r="A35" s="142"/>
      <c r="B35" s="143"/>
      <c r="C35" s="143"/>
      <c r="D35" s="144"/>
      <c r="E35" s="144"/>
      <c r="F35" s="144"/>
      <c r="G35" s="144"/>
      <c r="H35" s="144"/>
      <c r="I35" s="887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</row>
    <row r="36" spans="1:23" ht="12" customHeight="1" thickBot="1">
      <c r="A36" s="145"/>
      <c r="B36" s="146"/>
      <c r="C36" s="147" t="s">
        <v>136</v>
      </c>
      <c r="D36" s="364"/>
      <c r="E36" s="364"/>
      <c r="F36" s="364"/>
      <c r="G36" s="364"/>
      <c r="H36" s="168"/>
      <c r="I36" s="888"/>
      <c r="J36" s="168"/>
      <c r="K36" s="155"/>
      <c r="L36" s="364"/>
      <c r="M36" s="364"/>
      <c r="N36" s="364"/>
      <c r="O36" s="364"/>
      <c r="P36" s="168"/>
      <c r="Q36" s="168"/>
      <c r="R36" s="155"/>
      <c r="S36" s="364"/>
      <c r="T36" s="168"/>
      <c r="U36" s="155"/>
      <c r="V36" s="155"/>
      <c r="W36" s="155"/>
    </row>
    <row r="37" spans="1:23" ht="12" customHeight="1" thickBot="1">
      <c r="A37" s="113" t="s">
        <v>27</v>
      </c>
      <c r="B37" s="148"/>
      <c r="C37" s="367" t="s">
        <v>137</v>
      </c>
      <c r="D37" s="356">
        <f>SUM(D38:D42)</f>
        <v>146989617</v>
      </c>
      <c r="E37" s="356">
        <f>SUM(E38:E42)</f>
        <v>149389617</v>
      </c>
      <c r="F37" s="356">
        <f>SUM(F38:F42)</f>
        <v>153693428</v>
      </c>
      <c r="G37" s="356">
        <f>SUM(G38:G42)</f>
        <v>134685137</v>
      </c>
      <c r="H37" s="356">
        <f>SUM(H38:H42)</f>
        <v>132654723</v>
      </c>
      <c r="I37" s="873">
        <f aca="true" t="shared" si="7" ref="I37:I44">+H37/G37</f>
        <v>0.9849247359788482</v>
      </c>
      <c r="J37" s="296">
        <f>I37/H37</f>
        <v>7.424724229222116E-09</v>
      </c>
      <c r="K37" s="350">
        <f aca="true" t="shared" si="8" ref="K37:P37">SUM(K38:K42)</f>
        <v>0</v>
      </c>
      <c r="L37" s="356">
        <f t="shared" si="8"/>
        <v>146989617</v>
      </c>
      <c r="M37" s="356">
        <f t="shared" si="8"/>
        <v>149389617</v>
      </c>
      <c r="N37" s="356">
        <f t="shared" si="8"/>
        <v>153693428</v>
      </c>
      <c r="O37" s="356">
        <f t="shared" si="8"/>
        <v>134685137</v>
      </c>
      <c r="P37" s="356">
        <f t="shared" si="8"/>
        <v>132654723</v>
      </c>
      <c r="Q37" s="873">
        <f>+P37/O37</f>
        <v>0.9849247359788482</v>
      </c>
      <c r="R37" s="296">
        <f>Q37/P37</f>
        <v>7.424724229222116E-09</v>
      </c>
      <c r="S37" s="356"/>
      <c r="T37" s="161"/>
      <c r="U37" s="103"/>
      <c r="V37" s="103"/>
      <c r="W37" s="103"/>
    </row>
    <row r="38" spans="1:23" ht="12" customHeight="1">
      <c r="A38" s="149"/>
      <c r="B38" s="150" t="s">
        <v>111</v>
      </c>
      <c r="C38" s="368" t="s">
        <v>138</v>
      </c>
      <c r="D38" s="374">
        <v>75869253</v>
      </c>
      <c r="E38" s="374">
        <v>75869253</v>
      </c>
      <c r="F38" s="374">
        <v>77768850</v>
      </c>
      <c r="G38" s="374">
        <v>71959850</v>
      </c>
      <c r="H38" s="374">
        <v>71445780</v>
      </c>
      <c r="I38" s="889">
        <f t="shared" si="7"/>
        <v>0.992856155203214</v>
      </c>
      <c r="J38" s="593"/>
      <c r="K38" s="620"/>
      <c r="L38" s="374">
        <v>75869253</v>
      </c>
      <c r="M38" s="374">
        <v>75869253</v>
      </c>
      <c r="N38" s="374">
        <v>77768850</v>
      </c>
      <c r="O38" s="374">
        <v>71959850</v>
      </c>
      <c r="P38" s="374">
        <v>71445780</v>
      </c>
      <c r="Q38" s="889">
        <f>+P38/O38</f>
        <v>0.992856155203214</v>
      </c>
      <c r="R38" s="593">
        <f>Q38/P38</f>
        <v>1.3896638194771113E-08</v>
      </c>
      <c r="S38" s="358"/>
      <c r="T38" s="162"/>
      <c r="U38" s="109"/>
      <c r="V38" s="109"/>
      <c r="W38" s="109"/>
    </row>
    <row r="39" spans="1:23" ht="12" customHeight="1">
      <c r="A39" s="151"/>
      <c r="B39" s="152" t="s">
        <v>112</v>
      </c>
      <c r="C39" s="369" t="s">
        <v>51</v>
      </c>
      <c r="D39" s="375">
        <v>15492604</v>
      </c>
      <c r="E39" s="375">
        <v>15492604</v>
      </c>
      <c r="F39" s="375">
        <v>15878562</v>
      </c>
      <c r="G39" s="375">
        <v>14690562</v>
      </c>
      <c r="H39" s="375">
        <v>14675110</v>
      </c>
      <c r="I39" s="890">
        <f t="shared" si="7"/>
        <v>0.9989481682184793</v>
      </c>
      <c r="J39" s="622"/>
      <c r="K39" s="382"/>
      <c r="L39" s="375">
        <v>15492604</v>
      </c>
      <c r="M39" s="375">
        <v>15492604</v>
      </c>
      <c r="N39" s="375">
        <v>15878562</v>
      </c>
      <c r="O39" s="375">
        <v>14690562</v>
      </c>
      <c r="P39" s="375">
        <v>14675110</v>
      </c>
      <c r="Q39" s="890">
        <f>+P39/O39</f>
        <v>0.9989481682184793</v>
      </c>
      <c r="R39" s="622">
        <f>Q39/P39</f>
        <v>6.807091519031062E-08</v>
      </c>
      <c r="S39" s="358"/>
      <c r="T39" s="162"/>
      <c r="U39" s="109"/>
      <c r="V39" s="109"/>
      <c r="W39" s="109"/>
    </row>
    <row r="40" spans="1:23" ht="12" customHeight="1">
      <c r="A40" s="151"/>
      <c r="B40" s="152" t="s">
        <v>113</v>
      </c>
      <c r="C40" s="369" t="s">
        <v>139</v>
      </c>
      <c r="D40" s="375">
        <v>55627760</v>
      </c>
      <c r="E40" s="375">
        <v>58027760</v>
      </c>
      <c r="F40" s="375">
        <v>60046016</v>
      </c>
      <c r="G40" s="375">
        <v>48034725</v>
      </c>
      <c r="H40" s="375">
        <v>46533833</v>
      </c>
      <c r="I40" s="890">
        <f t="shared" si="7"/>
        <v>0.9687540211794696</v>
      </c>
      <c r="J40" s="622"/>
      <c r="K40" s="382"/>
      <c r="L40" s="375">
        <v>55627760</v>
      </c>
      <c r="M40" s="375">
        <v>58027760</v>
      </c>
      <c r="N40" s="375">
        <v>60046016</v>
      </c>
      <c r="O40" s="375">
        <v>48034725</v>
      </c>
      <c r="P40" s="375">
        <v>46533833</v>
      </c>
      <c r="Q40" s="890">
        <f>+P40/O40</f>
        <v>0.9687540211794696</v>
      </c>
      <c r="R40" s="622">
        <f>Q40/P40</f>
        <v>2.081827261423897E-08</v>
      </c>
      <c r="S40" s="358"/>
      <c r="T40" s="162"/>
      <c r="U40" s="109"/>
      <c r="V40" s="109"/>
      <c r="W40" s="109"/>
    </row>
    <row r="41" spans="1:23" s="141" customFormat="1" ht="12" customHeight="1">
      <c r="A41" s="151"/>
      <c r="B41" s="152" t="s">
        <v>114</v>
      </c>
      <c r="C41" s="369" t="s">
        <v>81</v>
      </c>
      <c r="D41" s="375"/>
      <c r="E41" s="375"/>
      <c r="F41" s="375"/>
      <c r="G41" s="375"/>
      <c r="H41" s="375"/>
      <c r="I41" s="890"/>
      <c r="J41" s="170"/>
      <c r="K41" s="382"/>
      <c r="L41" s="375"/>
      <c r="M41" s="375"/>
      <c r="N41" s="375"/>
      <c r="O41" s="375"/>
      <c r="P41" s="375"/>
      <c r="Q41" s="890"/>
      <c r="R41" s="170"/>
      <c r="S41" s="358"/>
      <c r="T41" s="162"/>
      <c r="U41" s="109"/>
      <c r="V41" s="109"/>
      <c r="W41" s="109"/>
    </row>
    <row r="42" spans="1:23" ht="12" customHeight="1" thickBot="1">
      <c r="A42" s="151"/>
      <c r="B42" s="152" t="s">
        <v>50</v>
      </c>
      <c r="C42" s="369" t="s">
        <v>83</v>
      </c>
      <c r="D42" s="375"/>
      <c r="E42" s="375"/>
      <c r="F42" s="375"/>
      <c r="G42" s="375"/>
      <c r="H42" s="375"/>
      <c r="I42" s="890"/>
      <c r="J42" s="622"/>
      <c r="K42" s="382"/>
      <c r="L42" s="375"/>
      <c r="M42" s="375"/>
      <c r="N42" s="375"/>
      <c r="O42" s="375"/>
      <c r="P42" s="375"/>
      <c r="Q42" s="890"/>
      <c r="R42" s="622" t="e">
        <f>P42/O42</f>
        <v>#DIV/0!</v>
      </c>
      <c r="S42" s="375"/>
      <c r="T42" s="170"/>
      <c r="U42" s="153"/>
      <c r="V42" s="153"/>
      <c r="W42" s="153"/>
    </row>
    <row r="43" spans="1:23" ht="12" customHeight="1" thickBot="1">
      <c r="A43" s="113" t="s">
        <v>28</v>
      </c>
      <c r="B43" s="148"/>
      <c r="C43" s="367" t="s">
        <v>140</v>
      </c>
      <c r="D43" s="356">
        <f>SUM(D44:D48)</f>
        <v>127000</v>
      </c>
      <c r="E43" s="356">
        <f>SUM(E44:E48)</f>
        <v>2561777</v>
      </c>
      <c r="F43" s="356">
        <f>SUM(F44:F48)</f>
        <v>4117323</v>
      </c>
      <c r="G43" s="356">
        <f>SUM(G44:G48)</f>
        <v>4972699</v>
      </c>
      <c r="H43" s="356">
        <f>SUM(H44:H48)</f>
        <v>4972699</v>
      </c>
      <c r="I43" s="873">
        <f t="shared" si="7"/>
        <v>1</v>
      </c>
      <c r="J43" s="296">
        <f>I43/H43</f>
        <v>2.0109803549340107E-07</v>
      </c>
      <c r="K43" s="350">
        <f aca="true" t="shared" si="9" ref="K43:P43">SUM(K44:K48)</f>
        <v>0</v>
      </c>
      <c r="L43" s="356">
        <f t="shared" si="9"/>
        <v>127000</v>
      </c>
      <c r="M43" s="356">
        <f t="shared" si="9"/>
        <v>2561777</v>
      </c>
      <c r="N43" s="356">
        <f t="shared" si="9"/>
        <v>4117323</v>
      </c>
      <c r="O43" s="356">
        <f t="shared" si="9"/>
        <v>4972699</v>
      </c>
      <c r="P43" s="356">
        <f t="shared" si="9"/>
        <v>4972699</v>
      </c>
      <c r="Q43" s="873">
        <f>+P43/O43</f>
        <v>1</v>
      </c>
      <c r="R43" s="296">
        <f>Q43/P43</f>
        <v>2.0109803549340107E-07</v>
      </c>
      <c r="S43" s="356"/>
      <c r="T43" s="161"/>
      <c r="U43" s="103"/>
      <c r="V43" s="103"/>
      <c r="W43" s="103"/>
    </row>
    <row r="44" spans="1:23" ht="12" customHeight="1">
      <c r="A44" s="149"/>
      <c r="B44" s="150" t="s">
        <v>141</v>
      </c>
      <c r="C44" s="368" t="s">
        <v>93</v>
      </c>
      <c r="D44" s="374">
        <v>127000</v>
      </c>
      <c r="E44" s="374">
        <v>2561777</v>
      </c>
      <c r="F44" s="374">
        <v>4117323</v>
      </c>
      <c r="G44" s="374">
        <v>4972699</v>
      </c>
      <c r="H44" s="374">
        <v>4972699</v>
      </c>
      <c r="I44" s="889">
        <f t="shared" si="7"/>
        <v>1</v>
      </c>
      <c r="J44" s="593"/>
      <c r="K44" s="620"/>
      <c r="L44" s="374">
        <v>127000</v>
      </c>
      <c r="M44" s="374">
        <v>2561777</v>
      </c>
      <c r="N44" s="374">
        <v>4117323</v>
      </c>
      <c r="O44" s="374">
        <v>4972699</v>
      </c>
      <c r="P44" s="374">
        <v>4972699</v>
      </c>
      <c r="Q44" s="889">
        <f>+P44/O44</f>
        <v>1</v>
      </c>
      <c r="R44" s="593">
        <f>Q44/P44</f>
        <v>2.0109803549340107E-07</v>
      </c>
      <c r="S44" s="358"/>
      <c r="T44" s="162"/>
      <c r="U44" s="109"/>
      <c r="V44" s="109"/>
      <c r="W44" s="109"/>
    </row>
    <row r="45" spans="1:23" ht="12" customHeight="1">
      <c r="A45" s="149"/>
      <c r="B45" s="150"/>
      <c r="C45" s="368" t="s">
        <v>348</v>
      </c>
      <c r="D45" s="374"/>
      <c r="E45" s="374"/>
      <c r="F45" s="374"/>
      <c r="G45" s="374"/>
      <c r="H45" s="374"/>
      <c r="I45" s="889"/>
      <c r="J45" s="169"/>
      <c r="K45" s="620"/>
      <c r="L45" s="374"/>
      <c r="M45" s="374"/>
      <c r="N45" s="374"/>
      <c r="O45" s="374"/>
      <c r="P45" s="374"/>
      <c r="Q45" s="889"/>
      <c r="R45" s="169"/>
      <c r="S45" s="358"/>
      <c r="T45" s="162"/>
      <c r="U45" s="109"/>
      <c r="V45" s="109"/>
      <c r="W45" s="109"/>
    </row>
    <row r="46" spans="1:23" ht="12" customHeight="1">
      <c r="A46" s="151"/>
      <c r="B46" s="152" t="s">
        <v>142</v>
      </c>
      <c r="C46" s="369" t="s">
        <v>94</v>
      </c>
      <c r="D46" s="375"/>
      <c r="E46" s="375"/>
      <c r="F46" s="375"/>
      <c r="G46" s="375"/>
      <c r="H46" s="375"/>
      <c r="I46" s="890"/>
      <c r="J46" s="170"/>
      <c r="K46" s="382"/>
      <c r="L46" s="375"/>
      <c r="M46" s="375"/>
      <c r="N46" s="375"/>
      <c r="O46" s="375"/>
      <c r="P46" s="375"/>
      <c r="Q46" s="890"/>
      <c r="R46" s="170"/>
      <c r="S46" s="375"/>
      <c r="T46" s="170"/>
      <c r="U46" s="153"/>
      <c r="V46" s="153"/>
      <c r="W46" s="153"/>
    </row>
    <row r="47" spans="1:23" ht="15" customHeight="1">
      <c r="A47" s="151"/>
      <c r="B47" s="152" t="s">
        <v>41</v>
      </c>
      <c r="C47" s="369" t="s">
        <v>144</v>
      </c>
      <c r="D47" s="375"/>
      <c r="E47" s="375"/>
      <c r="F47" s="375"/>
      <c r="G47" s="375"/>
      <c r="H47" s="375"/>
      <c r="I47" s="890"/>
      <c r="J47" s="170"/>
      <c r="K47" s="382"/>
      <c r="L47" s="375"/>
      <c r="M47" s="375"/>
      <c r="N47" s="375"/>
      <c r="O47" s="375"/>
      <c r="P47" s="375"/>
      <c r="Q47" s="890"/>
      <c r="R47" s="170"/>
      <c r="S47" s="375"/>
      <c r="T47" s="170"/>
      <c r="U47" s="153"/>
      <c r="V47" s="153"/>
      <c r="W47" s="153"/>
    </row>
    <row r="48" spans="1:23" ht="13.5" thickBot="1">
      <c r="A48" s="151"/>
      <c r="B48" s="152" t="s">
        <v>271</v>
      </c>
      <c r="C48" s="369" t="s">
        <v>146</v>
      </c>
      <c r="D48" s="375"/>
      <c r="E48" s="375"/>
      <c r="F48" s="375"/>
      <c r="G48" s="375"/>
      <c r="H48" s="375"/>
      <c r="I48" s="890"/>
      <c r="J48" s="170"/>
      <c r="K48" s="382"/>
      <c r="L48" s="375"/>
      <c r="M48" s="375"/>
      <c r="N48" s="375"/>
      <c r="O48" s="375"/>
      <c r="P48" s="375"/>
      <c r="Q48" s="890"/>
      <c r="R48" s="170"/>
      <c r="S48" s="375"/>
      <c r="T48" s="170"/>
      <c r="U48" s="153"/>
      <c r="V48" s="153"/>
      <c r="W48" s="153"/>
    </row>
    <row r="49" spans="1:23" ht="15" customHeight="1" thickBot="1">
      <c r="A49" s="113" t="s">
        <v>10</v>
      </c>
      <c r="B49" s="148"/>
      <c r="C49" s="370" t="s">
        <v>147</v>
      </c>
      <c r="D49" s="361"/>
      <c r="E49" s="361"/>
      <c r="F49" s="361"/>
      <c r="G49" s="361"/>
      <c r="H49" s="361"/>
      <c r="I49" s="881"/>
      <c r="J49" s="165"/>
      <c r="K49" s="351"/>
      <c r="L49" s="361"/>
      <c r="M49" s="361"/>
      <c r="N49" s="361"/>
      <c r="O49" s="361"/>
      <c r="P49" s="361"/>
      <c r="Q49" s="881"/>
      <c r="R49" s="165"/>
      <c r="S49" s="361"/>
      <c r="T49" s="165"/>
      <c r="U49" s="123"/>
      <c r="V49" s="123"/>
      <c r="W49" s="123"/>
    </row>
    <row r="50" spans="1:23" ht="14.25" customHeight="1" thickBot="1">
      <c r="A50" s="132" t="s">
        <v>11</v>
      </c>
      <c r="B50" s="244"/>
      <c r="C50" s="371" t="s">
        <v>148</v>
      </c>
      <c r="D50" s="361"/>
      <c r="E50" s="361"/>
      <c r="F50" s="361"/>
      <c r="G50" s="361"/>
      <c r="H50" s="361"/>
      <c r="I50" s="881"/>
      <c r="J50" s="165"/>
      <c r="K50" s="351"/>
      <c r="L50" s="361"/>
      <c r="M50" s="361"/>
      <c r="N50" s="361"/>
      <c r="O50" s="361"/>
      <c r="P50" s="361"/>
      <c r="Q50" s="881"/>
      <c r="R50" s="165"/>
      <c r="S50" s="361"/>
      <c r="T50" s="165"/>
      <c r="U50" s="123"/>
      <c r="V50" s="123"/>
      <c r="W50" s="123"/>
    </row>
    <row r="51" spans="1:23" ht="13.5" thickBot="1">
      <c r="A51" s="113">
        <v>5</v>
      </c>
      <c r="B51" s="154"/>
      <c r="C51" s="372" t="s">
        <v>275</v>
      </c>
      <c r="D51" s="364">
        <f>D37+D43+D49+D50</f>
        <v>147116617</v>
      </c>
      <c r="E51" s="364">
        <f>E37+E43+E49+E50</f>
        <v>151951394</v>
      </c>
      <c r="F51" s="364">
        <f>F37+F43+F49+F50</f>
        <v>157810751</v>
      </c>
      <c r="G51" s="364">
        <f>G37+G43+G49+G50</f>
        <v>139657836</v>
      </c>
      <c r="H51" s="364">
        <f>H37+H43+H49+H50</f>
        <v>137627422</v>
      </c>
      <c r="I51" s="885">
        <f>+H51/G51</f>
        <v>0.9854615103731094</v>
      </c>
      <c r="J51" s="296">
        <f>I51/H51</f>
        <v>7.160357260583646E-09</v>
      </c>
      <c r="K51" s="137">
        <f aca="true" t="shared" si="10" ref="K51:P51">K37+K43+K49+K50</f>
        <v>0</v>
      </c>
      <c r="L51" s="364">
        <f t="shared" si="10"/>
        <v>147116617</v>
      </c>
      <c r="M51" s="364">
        <f t="shared" si="10"/>
        <v>151951394</v>
      </c>
      <c r="N51" s="364">
        <f t="shared" si="10"/>
        <v>157810751</v>
      </c>
      <c r="O51" s="364">
        <f t="shared" si="10"/>
        <v>139657836</v>
      </c>
      <c r="P51" s="364">
        <f t="shared" si="10"/>
        <v>137627422</v>
      </c>
      <c r="Q51" s="885">
        <f>+P51/O51</f>
        <v>0.9854615103731094</v>
      </c>
      <c r="R51" s="296">
        <f>Q51/P51</f>
        <v>7.160357260583646E-09</v>
      </c>
      <c r="S51" s="364"/>
      <c r="T51" s="168"/>
      <c r="U51" s="155"/>
      <c r="V51" s="155"/>
      <c r="W51" s="155"/>
    </row>
    <row r="52" spans="4:23" ht="13.5" thickBot="1">
      <c r="D52" s="403"/>
      <c r="E52" s="403"/>
      <c r="F52" s="403"/>
      <c r="G52" s="403"/>
      <c r="H52" s="403"/>
      <c r="I52" s="891"/>
      <c r="J52" s="404"/>
      <c r="K52" s="629"/>
      <c r="L52" s="403"/>
      <c r="M52" s="403"/>
      <c r="N52" s="403"/>
      <c r="O52" s="403"/>
      <c r="P52" s="403"/>
      <c r="Q52" s="891"/>
      <c r="R52" s="404"/>
      <c r="S52" s="403"/>
      <c r="T52" s="404"/>
      <c r="U52" s="405"/>
      <c r="V52" s="405"/>
      <c r="W52" s="405"/>
    </row>
    <row r="53" spans="1:23" ht="13.5" thickBot="1">
      <c r="A53" s="157" t="s">
        <v>150</v>
      </c>
      <c r="B53" s="158"/>
      <c r="C53" s="373"/>
      <c r="D53" s="387">
        <v>23</v>
      </c>
      <c r="E53" s="387">
        <v>23</v>
      </c>
      <c r="F53" s="387">
        <v>26</v>
      </c>
      <c r="G53" s="872">
        <v>26</v>
      </c>
      <c r="H53" s="387">
        <v>26</v>
      </c>
      <c r="I53" s="892">
        <f>+H53/G53</f>
        <v>1</v>
      </c>
      <c r="J53" s="296">
        <f>I53/H53</f>
        <v>0.038461538461538464</v>
      </c>
      <c r="K53" s="172"/>
      <c r="L53" s="387">
        <v>23</v>
      </c>
      <c r="M53" s="387">
        <v>23</v>
      </c>
      <c r="N53" s="387">
        <v>26</v>
      </c>
      <c r="O53" s="872">
        <v>26</v>
      </c>
      <c r="P53" s="387">
        <v>26</v>
      </c>
      <c r="Q53" s="892">
        <f>+P53/O53</f>
        <v>1</v>
      </c>
      <c r="R53" s="296">
        <f>Q53/P53</f>
        <v>0.038461538461538464</v>
      </c>
      <c r="S53" s="387"/>
      <c r="T53" s="173"/>
      <c r="U53" s="376"/>
      <c r="V53" s="376"/>
      <c r="W53" s="376"/>
    </row>
    <row r="54" spans="1:23" ht="13.5" thickBot="1">
      <c r="A54" s="157" t="s">
        <v>151</v>
      </c>
      <c r="B54" s="158"/>
      <c r="C54" s="373"/>
      <c r="D54" s="387">
        <v>0</v>
      </c>
      <c r="E54" s="387">
        <v>0</v>
      </c>
      <c r="F54" s="387">
        <v>0</v>
      </c>
      <c r="G54" s="872">
        <v>0</v>
      </c>
      <c r="H54" s="387">
        <v>0</v>
      </c>
      <c r="I54" s="892"/>
      <c r="J54" s="296"/>
      <c r="K54" s="172"/>
      <c r="L54" s="387">
        <v>0</v>
      </c>
      <c r="M54" s="387">
        <v>0</v>
      </c>
      <c r="N54" s="387">
        <v>0</v>
      </c>
      <c r="O54" s="872">
        <v>0</v>
      </c>
      <c r="P54" s="387">
        <v>0</v>
      </c>
      <c r="Q54" s="892"/>
      <c r="R54" s="296"/>
      <c r="S54" s="387"/>
      <c r="T54" s="173"/>
      <c r="U54" s="376"/>
      <c r="V54" s="376"/>
      <c r="W54" s="376"/>
    </row>
    <row r="55" spans="6:11" ht="12.75">
      <c r="F55" s="248"/>
      <c r="G55" s="248"/>
      <c r="H55" s="248"/>
      <c r="I55" s="248"/>
      <c r="J55" s="248"/>
      <c r="K55" s="248"/>
    </row>
    <row r="56" spans="1:11" ht="12.75">
      <c r="A56" s="1440" t="s">
        <v>152</v>
      </c>
      <c r="B56" s="1440"/>
      <c r="C56" s="1440"/>
      <c r="D56" s="1440"/>
      <c r="E56" s="232"/>
      <c r="F56" s="584"/>
      <c r="G56" s="584"/>
      <c r="H56" s="584"/>
      <c r="I56" s="584"/>
      <c r="J56" s="232"/>
      <c r="K56" s="232"/>
    </row>
    <row r="57" spans="1:3" ht="12.75">
      <c r="A57" s="1440"/>
      <c r="B57" s="1440"/>
      <c r="C57" s="1440"/>
    </row>
    <row r="58" spans="4:11" ht="12.75">
      <c r="D58" s="248">
        <v>0</v>
      </c>
      <c r="E58" s="248"/>
      <c r="F58" s="248"/>
      <c r="G58" s="248"/>
      <c r="H58" s="248"/>
      <c r="I58" s="248"/>
      <c r="J58" s="248"/>
      <c r="K58" s="248"/>
    </row>
  </sheetData>
  <sheetProtection/>
  <mergeCells count="8">
    <mergeCell ref="L1:V1"/>
    <mergeCell ref="S5:W5"/>
    <mergeCell ref="A3:S3"/>
    <mergeCell ref="A57:C57"/>
    <mergeCell ref="A56:D56"/>
    <mergeCell ref="A6:B6"/>
    <mergeCell ref="D5:K5"/>
    <mergeCell ref="L5:R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zoomScale="70" zoomScaleNormal="70" workbookViewId="0" topLeftCell="A1">
      <selection activeCell="G33" sqref="G33"/>
    </sheetView>
  </sheetViews>
  <sheetFormatPr defaultColWidth="9.140625" defaultRowHeight="12.75"/>
  <cols>
    <col min="1" max="1" width="9.140625" style="1736" customWidth="1"/>
    <col min="2" max="2" width="54.28125" style="1736" customWidth="1"/>
    <col min="3" max="3" width="5.57421875" style="1741" customWidth="1"/>
    <col min="4" max="4" width="17.421875" style="1739" customWidth="1"/>
    <col min="5" max="6" width="18.57421875" style="1739" hidden="1" customWidth="1"/>
    <col min="7" max="7" width="15.7109375" style="1739" customWidth="1"/>
    <col min="8" max="9" width="14.140625" style="1739" hidden="1" customWidth="1"/>
    <col min="10" max="11" width="20.8515625" style="1739" customWidth="1"/>
    <col min="12" max="12" width="20.28125" style="1736" customWidth="1"/>
    <col min="13" max="14" width="15.28125" style="1736" hidden="1" customWidth="1"/>
    <col min="15" max="17" width="15.28125" style="1736" customWidth="1"/>
    <col min="18" max="18" width="15.28125" style="1736" hidden="1" customWidth="1"/>
    <col min="19" max="19" width="18.28125" style="1736" customWidth="1"/>
    <col min="20" max="20" width="13.28125" style="1736" hidden="1" customWidth="1"/>
    <col min="21" max="21" width="14.7109375" style="1736" hidden="1" customWidth="1"/>
    <col min="22" max="22" width="17.421875" style="1736" customWidth="1"/>
    <col min="23" max="23" width="14.8515625" style="1736" customWidth="1"/>
    <col min="24" max="24" width="17.00390625" style="1736" customWidth="1"/>
    <col min="25" max="25" width="3.8515625" style="1736" hidden="1" customWidth="1"/>
    <col min="26" max="26" width="17.140625" style="1736" customWidth="1"/>
    <col min="27" max="16384" width="9.140625" style="1736" customWidth="1"/>
  </cols>
  <sheetData>
    <row r="1" spans="1:20" ht="15.75">
      <c r="A1" s="1668" t="s">
        <v>59</v>
      </c>
      <c r="B1" s="1668"/>
      <c r="C1" s="1668"/>
      <c r="D1" s="1668"/>
      <c r="E1" s="1668"/>
      <c r="F1" s="1668"/>
      <c r="G1" s="1668"/>
      <c r="H1" s="1668"/>
      <c r="I1" s="1668"/>
      <c r="J1" s="1668"/>
      <c r="K1" s="1668"/>
      <c r="L1" s="1668"/>
      <c r="M1" s="1668"/>
      <c r="N1" s="1668"/>
      <c r="O1" s="1668"/>
      <c r="P1" s="1668"/>
      <c r="Q1" s="1668"/>
      <c r="R1" s="1668"/>
      <c r="S1" s="1668"/>
      <c r="T1" s="1669"/>
    </row>
    <row r="2" spans="1:20" ht="16.5" thickBot="1">
      <c r="A2" s="1737"/>
      <c r="B2" s="1669"/>
      <c r="C2" s="1669"/>
      <c r="D2" s="1670"/>
      <c r="E2" s="1670"/>
      <c r="F2" s="1670"/>
      <c r="G2" s="1670"/>
      <c r="H2" s="1670"/>
      <c r="I2" s="1670"/>
      <c r="J2" s="1670"/>
      <c r="K2" s="1670"/>
      <c r="L2" s="1669"/>
      <c r="M2" s="1669"/>
      <c r="N2" s="1669"/>
      <c r="O2" s="1669"/>
      <c r="P2" s="1669"/>
      <c r="Q2" s="1669"/>
      <c r="R2" s="1669"/>
      <c r="S2" s="1669" t="s">
        <v>443</v>
      </c>
      <c r="T2" s="1669"/>
    </row>
    <row r="3" spans="1:25" s="1680" customFormat="1" ht="31.5" customHeight="1" thickBot="1">
      <c r="A3" s="1671" t="s">
        <v>6</v>
      </c>
      <c r="B3" s="1672" t="s">
        <v>35</v>
      </c>
      <c r="C3" s="1673" t="s">
        <v>266</v>
      </c>
      <c r="D3" s="1674" t="s">
        <v>5</v>
      </c>
      <c r="E3" s="1675"/>
      <c r="F3" s="1675"/>
      <c r="G3" s="1675"/>
      <c r="H3" s="1675"/>
      <c r="I3" s="1675"/>
      <c r="J3" s="1675"/>
      <c r="K3" s="1676"/>
      <c r="L3" s="1677" t="s">
        <v>267</v>
      </c>
      <c r="M3" s="1678"/>
      <c r="N3" s="1678"/>
      <c r="O3" s="1678"/>
      <c r="P3" s="1678"/>
      <c r="Q3" s="1678"/>
      <c r="R3" s="1679"/>
      <c r="S3" s="1677" t="s">
        <v>26</v>
      </c>
      <c r="T3" s="1678"/>
      <c r="U3" s="1678"/>
      <c r="V3" s="1678"/>
      <c r="W3" s="1678"/>
      <c r="X3" s="1678"/>
      <c r="Y3" s="1679"/>
    </row>
    <row r="4" spans="1:25" s="1680" customFormat="1" ht="31.5" customHeight="1">
      <c r="A4" s="1681"/>
      <c r="B4" s="1682"/>
      <c r="C4" s="1683"/>
      <c r="D4" s="1684" t="s">
        <v>65</v>
      </c>
      <c r="E4" s="1685" t="s">
        <v>227</v>
      </c>
      <c r="F4" s="1685" t="s">
        <v>230</v>
      </c>
      <c r="G4" s="1686" t="s">
        <v>232</v>
      </c>
      <c r="H4" s="1686" t="s">
        <v>672</v>
      </c>
      <c r="I4" s="1686" t="s">
        <v>673</v>
      </c>
      <c r="J4" s="1687" t="s">
        <v>235</v>
      </c>
      <c r="K4" s="1688" t="s">
        <v>236</v>
      </c>
      <c r="L4" s="1684" t="s">
        <v>65</v>
      </c>
      <c r="M4" s="1685" t="s">
        <v>227</v>
      </c>
      <c r="N4" s="1685" t="s">
        <v>230</v>
      </c>
      <c r="O4" s="1686" t="s">
        <v>232</v>
      </c>
      <c r="P4" s="1687" t="s">
        <v>235</v>
      </c>
      <c r="Q4" s="1688" t="s">
        <v>236</v>
      </c>
      <c r="R4" s="1687" t="s">
        <v>236</v>
      </c>
      <c r="S4" s="1684" t="s">
        <v>65</v>
      </c>
      <c r="T4" s="1685" t="s">
        <v>227</v>
      </c>
      <c r="U4" s="1685" t="s">
        <v>230</v>
      </c>
      <c r="V4" s="1686" t="s">
        <v>232</v>
      </c>
      <c r="W4" s="1687" t="s">
        <v>235</v>
      </c>
      <c r="X4" s="1688" t="s">
        <v>236</v>
      </c>
      <c r="Y4" s="1687" t="s">
        <v>236</v>
      </c>
    </row>
    <row r="5" spans="1:25" ht="29.25" customHeight="1">
      <c r="A5" s="1738">
        <v>1</v>
      </c>
      <c r="B5" s="995" t="s">
        <v>564</v>
      </c>
      <c r="C5" s="1689" t="s">
        <v>207</v>
      </c>
      <c r="D5" s="1690">
        <v>63500</v>
      </c>
      <c r="E5" s="1690">
        <v>63500</v>
      </c>
      <c r="F5" s="1690">
        <v>63500</v>
      </c>
      <c r="G5" s="1690">
        <v>63500</v>
      </c>
      <c r="H5" s="1690"/>
      <c r="I5" s="1691"/>
      <c r="J5" s="1692">
        <f>+H5+I5</f>
        <v>0</v>
      </c>
      <c r="K5" s="1693">
        <f>+J5/G5</f>
        <v>0</v>
      </c>
      <c r="L5" s="1690"/>
      <c r="M5" s="1694">
        <v>0</v>
      </c>
      <c r="N5" s="1694">
        <v>0</v>
      </c>
      <c r="O5" s="1694"/>
      <c r="P5" s="1694"/>
      <c r="Q5" s="1693"/>
      <c r="R5" s="1695"/>
      <c r="S5" s="1690">
        <f aca="true" t="shared" si="0" ref="S5:W17">+D5-L5</f>
        <v>63500</v>
      </c>
      <c r="T5" s="1690">
        <f t="shared" si="0"/>
        <v>63500</v>
      </c>
      <c r="U5" s="1690">
        <f t="shared" si="0"/>
        <v>63500</v>
      </c>
      <c r="V5" s="1690">
        <f t="shared" si="0"/>
        <v>63500</v>
      </c>
      <c r="W5" s="1690">
        <f t="shared" si="0"/>
        <v>0</v>
      </c>
      <c r="X5" s="1693">
        <f>+W5/V5</f>
        <v>0</v>
      </c>
      <c r="Y5" s="1695"/>
    </row>
    <row r="6" spans="1:25" ht="29.25" customHeight="1">
      <c r="A6" s="1738">
        <v>2</v>
      </c>
      <c r="B6" s="995" t="s">
        <v>572</v>
      </c>
      <c r="C6" s="1689" t="s">
        <v>207</v>
      </c>
      <c r="D6" s="1691">
        <v>232583</v>
      </c>
      <c r="E6" s="1691">
        <v>232583</v>
      </c>
      <c r="F6" s="1691">
        <v>232583</v>
      </c>
      <c r="G6" s="1691">
        <v>232583</v>
      </c>
      <c r="H6" s="1691">
        <v>183136</v>
      </c>
      <c r="I6" s="1691">
        <v>49447</v>
      </c>
      <c r="J6" s="1692">
        <f>+H6+I6</f>
        <v>232583</v>
      </c>
      <c r="K6" s="1693">
        <f aca="true" t="shared" si="1" ref="K6:K23">+J6/G6</f>
        <v>1</v>
      </c>
      <c r="L6" s="1696"/>
      <c r="M6" s="1697"/>
      <c r="N6" s="1697"/>
      <c r="O6" s="1697">
        <v>232583</v>
      </c>
      <c r="P6" s="1697">
        <v>232583</v>
      </c>
      <c r="Q6" s="1693">
        <f aca="true" t="shared" si="2" ref="Q6:Q14">+P6/O6</f>
        <v>1</v>
      </c>
      <c r="R6" s="1695"/>
      <c r="S6" s="1690">
        <f t="shared" si="0"/>
        <v>232583</v>
      </c>
      <c r="T6" s="1690">
        <f t="shared" si="0"/>
        <v>232583</v>
      </c>
      <c r="U6" s="1690">
        <f t="shared" si="0"/>
        <v>232583</v>
      </c>
      <c r="V6" s="1690">
        <f t="shared" si="0"/>
        <v>0</v>
      </c>
      <c r="W6" s="1690">
        <f>+J6-P6</f>
        <v>0</v>
      </c>
      <c r="X6" s="1693"/>
      <c r="Y6" s="1695"/>
    </row>
    <row r="7" spans="1:25" ht="29.25" customHeight="1">
      <c r="A7" s="1738">
        <v>3</v>
      </c>
      <c r="B7" s="1698" t="s">
        <v>565</v>
      </c>
      <c r="C7" s="1699" t="s">
        <v>207</v>
      </c>
      <c r="D7" s="1692">
        <v>10023980</v>
      </c>
      <c r="E7" s="1692">
        <v>10023980</v>
      </c>
      <c r="F7" s="1692">
        <v>10023980</v>
      </c>
      <c r="G7" s="1692">
        <v>10023980</v>
      </c>
      <c r="H7" s="1692">
        <v>4795000</v>
      </c>
      <c r="I7" s="1692">
        <f>268650+216000+270000+540000</f>
        <v>1294650</v>
      </c>
      <c r="J7" s="1692">
        <f>+H7+I7</f>
        <v>6089650</v>
      </c>
      <c r="K7" s="1693">
        <f t="shared" si="1"/>
        <v>0.6075081953475565</v>
      </c>
      <c r="L7" s="1700"/>
      <c r="M7" s="1701"/>
      <c r="N7" s="1701"/>
      <c r="O7" s="1701"/>
      <c r="P7" s="1701"/>
      <c r="Q7" s="1693"/>
      <c r="R7" s="1695"/>
      <c r="S7" s="1690">
        <f t="shared" si="0"/>
        <v>10023980</v>
      </c>
      <c r="T7" s="1690">
        <f t="shared" si="0"/>
        <v>10023980</v>
      </c>
      <c r="U7" s="1690">
        <f t="shared" si="0"/>
        <v>10023980</v>
      </c>
      <c r="V7" s="1690">
        <f t="shared" si="0"/>
        <v>10023980</v>
      </c>
      <c r="W7" s="1690">
        <f aca="true" t="shared" si="3" ref="W7:W20">+J7-P7</f>
        <v>6089650</v>
      </c>
      <c r="X7" s="1693">
        <f aca="true" t="shared" si="4" ref="X7:X20">+W7/V7</f>
        <v>0.6075081953475565</v>
      </c>
      <c r="Y7" s="1695"/>
    </row>
    <row r="8" spans="1:25" ht="29.25" customHeight="1">
      <c r="A8" s="1738">
        <v>4</v>
      </c>
      <c r="B8" s="995" t="s">
        <v>566</v>
      </c>
      <c r="C8" s="1699" t="s">
        <v>207</v>
      </c>
      <c r="D8" s="1702">
        <v>88900</v>
      </c>
      <c r="E8" s="1702">
        <v>88900</v>
      </c>
      <c r="F8" s="1702">
        <v>88900</v>
      </c>
      <c r="G8" s="1702">
        <v>88900</v>
      </c>
      <c r="H8" s="1702">
        <v>62485</v>
      </c>
      <c r="I8" s="1702"/>
      <c r="J8" s="1692">
        <f aca="true" t="shared" si="5" ref="J8:J20">+H8+I8</f>
        <v>62485</v>
      </c>
      <c r="K8" s="1693">
        <f t="shared" si="1"/>
        <v>0.7028683914510686</v>
      </c>
      <c r="L8" s="1700"/>
      <c r="M8" s="1701"/>
      <c r="N8" s="1701"/>
      <c r="O8" s="1701"/>
      <c r="P8" s="1701"/>
      <c r="Q8" s="1693"/>
      <c r="R8" s="1695"/>
      <c r="S8" s="1690">
        <f t="shared" si="0"/>
        <v>88900</v>
      </c>
      <c r="T8" s="1690">
        <f t="shared" si="0"/>
        <v>88900</v>
      </c>
      <c r="U8" s="1690">
        <f t="shared" si="0"/>
        <v>88900</v>
      </c>
      <c r="V8" s="1690">
        <f t="shared" si="0"/>
        <v>88900</v>
      </c>
      <c r="W8" s="1690">
        <f t="shared" si="3"/>
        <v>62485</v>
      </c>
      <c r="X8" s="1693">
        <f t="shared" si="4"/>
        <v>0.7028683914510686</v>
      </c>
      <c r="Y8" s="1695"/>
    </row>
    <row r="9" spans="1:25" ht="29.25" customHeight="1">
      <c r="A9" s="1738">
        <v>5</v>
      </c>
      <c r="B9" s="1703" t="s">
        <v>567</v>
      </c>
      <c r="C9" s="1699" t="s">
        <v>207</v>
      </c>
      <c r="D9" s="1702">
        <v>63500</v>
      </c>
      <c r="E9" s="1702">
        <v>63500</v>
      </c>
      <c r="F9" s="1702">
        <v>63500</v>
      </c>
      <c r="G9" s="1702">
        <v>63500</v>
      </c>
      <c r="H9" s="1702"/>
      <c r="I9" s="1702"/>
      <c r="J9" s="1692">
        <f t="shared" si="5"/>
        <v>0</v>
      </c>
      <c r="K9" s="1693">
        <f t="shared" si="1"/>
        <v>0</v>
      </c>
      <c r="L9" s="1700"/>
      <c r="M9" s="1701"/>
      <c r="N9" s="1701"/>
      <c r="O9" s="1701"/>
      <c r="P9" s="1701"/>
      <c r="Q9" s="1693"/>
      <c r="R9" s="1695"/>
      <c r="S9" s="1690">
        <f t="shared" si="0"/>
        <v>63500</v>
      </c>
      <c r="T9" s="1690">
        <f t="shared" si="0"/>
        <v>63500</v>
      </c>
      <c r="U9" s="1690">
        <f t="shared" si="0"/>
        <v>63500</v>
      </c>
      <c r="V9" s="1690">
        <f t="shared" si="0"/>
        <v>63500</v>
      </c>
      <c r="W9" s="1690">
        <f t="shared" si="3"/>
        <v>0</v>
      </c>
      <c r="X9" s="1693">
        <f t="shared" si="4"/>
        <v>0</v>
      </c>
      <c r="Y9" s="1695"/>
    </row>
    <row r="10" spans="1:25" ht="29.25" customHeight="1">
      <c r="A10" s="1738">
        <v>6</v>
      </c>
      <c r="B10" s="1703" t="s">
        <v>568</v>
      </c>
      <c r="C10" s="1699" t="s">
        <v>207</v>
      </c>
      <c r="D10" s="1691">
        <v>56014764</v>
      </c>
      <c r="E10" s="1691">
        <f>56014764+15273882+4123948+400000+54000</f>
        <v>75866594</v>
      </c>
      <c r="F10" s="1691">
        <f>56014764+15273882+4123948+400000+54000</f>
        <v>75866594</v>
      </c>
      <c r="G10" s="1691">
        <f>56014764+15273882+4123948+400000+54000-12865000-2469152</f>
        <v>60532442</v>
      </c>
      <c r="H10" s="1702">
        <f>2166839+200000+200000+14408365+15823089+315000+17418162+105000</f>
        <v>50636455</v>
      </c>
      <c r="I10" s="1702">
        <f>585046+54000+85050+28350</f>
        <v>752446</v>
      </c>
      <c r="J10" s="1692">
        <f t="shared" si="5"/>
        <v>51388901</v>
      </c>
      <c r="K10" s="1693">
        <f t="shared" si="1"/>
        <v>0.8489480896871796</v>
      </c>
      <c r="L10" s="1691">
        <v>56014764</v>
      </c>
      <c r="M10" s="1691">
        <v>56014764</v>
      </c>
      <c r="N10" s="1691">
        <f>56014764-636387</f>
        <v>55378377</v>
      </c>
      <c r="O10" s="1691">
        <f>56014764-636387-10973911</f>
        <v>44404466</v>
      </c>
      <c r="P10" s="1691">
        <f>56014764-636387-10973911</f>
        <v>44404466</v>
      </c>
      <c r="Q10" s="1693">
        <f t="shared" si="2"/>
        <v>1</v>
      </c>
      <c r="R10" s="1695"/>
      <c r="S10" s="1690">
        <f t="shared" si="0"/>
        <v>0</v>
      </c>
      <c r="T10" s="1690">
        <f t="shared" si="0"/>
        <v>19851830</v>
      </c>
      <c r="U10" s="1690">
        <f t="shared" si="0"/>
        <v>20488217</v>
      </c>
      <c r="V10" s="1690">
        <f t="shared" si="0"/>
        <v>16127976</v>
      </c>
      <c r="W10" s="1690">
        <f t="shared" si="3"/>
        <v>6984435</v>
      </c>
      <c r="X10" s="1693">
        <f t="shared" si="4"/>
        <v>0.4330633304513846</v>
      </c>
      <c r="Y10" s="1695"/>
    </row>
    <row r="11" spans="1:25" ht="29.25" customHeight="1">
      <c r="A11" s="1738">
        <v>7</v>
      </c>
      <c r="B11" s="1703" t="s">
        <v>569</v>
      </c>
      <c r="C11" s="1699" t="s">
        <v>207</v>
      </c>
      <c r="D11" s="1691">
        <v>26651697</v>
      </c>
      <c r="E11" s="1691">
        <v>26651697</v>
      </c>
      <c r="F11" s="1691">
        <v>26651697</v>
      </c>
      <c r="G11" s="1691">
        <v>26651697</v>
      </c>
      <c r="H11" s="1702">
        <f>4668628*2+4668628*2+212599+1619400</f>
        <v>20506511</v>
      </c>
      <c r="I11" s="1702">
        <f>1260530*4+57401</f>
        <v>5099521</v>
      </c>
      <c r="J11" s="1692">
        <f t="shared" si="5"/>
        <v>25606032</v>
      </c>
      <c r="K11" s="1693">
        <f t="shared" si="1"/>
        <v>0.9607655377441819</v>
      </c>
      <c r="L11" s="1691">
        <v>26651697</v>
      </c>
      <c r="M11" s="1691">
        <v>26651697</v>
      </c>
      <c r="N11" s="1691">
        <v>26651697</v>
      </c>
      <c r="O11" s="1691">
        <v>26651697</v>
      </c>
      <c r="P11" s="1691">
        <v>25606032</v>
      </c>
      <c r="Q11" s="1693">
        <f t="shared" si="2"/>
        <v>0.9607655377441819</v>
      </c>
      <c r="R11" s="1695"/>
      <c r="S11" s="1690">
        <f t="shared" si="0"/>
        <v>0</v>
      </c>
      <c r="T11" s="1690">
        <f t="shared" si="0"/>
        <v>0</v>
      </c>
      <c r="U11" s="1690">
        <f t="shared" si="0"/>
        <v>0</v>
      </c>
      <c r="V11" s="1690">
        <f t="shared" si="0"/>
        <v>0</v>
      </c>
      <c r="W11" s="1690">
        <f t="shared" si="3"/>
        <v>0</v>
      </c>
      <c r="X11" s="1693"/>
      <c r="Y11" s="1695"/>
    </row>
    <row r="12" spans="1:25" ht="29.25" customHeight="1">
      <c r="A12" s="1738">
        <v>8</v>
      </c>
      <c r="B12" s="1703" t="s">
        <v>570</v>
      </c>
      <c r="C12" s="1699" t="s">
        <v>207</v>
      </c>
      <c r="D12" s="1691">
        <v>1000001</v>
      </c>
      <c r="E12" s="1691">
        <v>1000001</v>
      </c>
      <c r="F12" s="1691">
        <v>1000001</v>
      </c>
      <c r="G12" s="1691">
        <v>1000001</v>
      </c>
      <c r="H12" s="1702">
        <f>296124+424160</f>
        <v>720284</v>
      </c>
      <c r="I12" s="1702">
        <f>79953+114523</f>
        <v>194476</v>
      </c>
      <c r="J12" s="1692">
        <f t="shared" si="5"/>
        <v>914760</v>
      </c>
      <c r="K12" s="1693">
        <f t="shared" si="1"/>
        <v>0.9147590852409148</v>
      </c>
      <c r="L12" s="1700"/>
      <c r="M12" s="1700"/>
      <c r="N12" s="1700"/>
      <c r="O12" s="1700"/>
      <c r="P12" s="1700"/>
      <c r="Q12" s="1693"/>
      <c r="R12" s="1695"/>
      <c r="S12" s="1690">
        <f t="shared" si="0"/>
        <v>1000001</v>
      </c>
      <c r="T12" s="1690">
        <f t="shared" si="0"/>
        <v>1000001</v>
      </c>
      <c r="U12" s="1690">
        <f t="shared" si="0"/>
        <v>1000001</v>
      </c>
      <c r="V12" s="1690">
        <f t="shared" si="0"/>
        <v>1000001</v>
      </c>
      <c r="W12" s="1690">
        <f t="shared" si="3"/>
        <v>914760</v>
      </c>
      <c r="X12" s="1693">
        <f t="shared" si="4"/>
        <v>0.9147590852409148</v>
      </c>
      <c r="Y12" s="1695"/>
    </row>
    <row r="13" spans="1:25" ht="43.5" customHeight="1">
      <c r="A13" s="1738">
        <v>9</v>
      </c>
      <c r="B13" s="1703" t="s">
        <v>571</v>
      </c>
      <c r="C13" s="1699" t="s">
        <v>206</v>
      </c>
      <c r="D13" s="1691">
        <v>4195548</v>
      </c>
      <c r="E13" s="1691">
        <v>4195548</v>
      </c>
      <c r="F13" s="1691">
        <v>4195548</v>
      </c>
      <c r="G13" s="1691">
        <v>4195548</v>
      </c>
      <c r="H13" s="1702">
        <v>761068</v>
      </c>
      <c r="I13" s="1702">
        <v>205488</v>
      </c>
      <c r="J13" s="1692">
        <f t="shared" si="5"/>
        <v>966556</v>
      </c>
      <c r="K13" s="1693">
        <f t="shared" si="1"/>
        <v>0.2303765801273159</v>
      </c>
      <c r="L13" s="1691">
        <v>4195548</v>
      </c>
      <c r="M13" s="1691">
        <v>4195548</v>
      </c>
      <c r="N13" s="1691">
        <v>4195548</v>
      </c>
      <c r="O13" s="1691">
        <v>4195548</v>
      </c>
      <c r="P13" s="1691">
        <v>966556</v>
      </c>
      <c r="Q13" s="1693">
        <f t="shared" si="2"/>
        <v>0.2303765801273159</v>
      </c>
      <c r="R13" s="1695"/>
      <c r="S13" s="1690">
        <f t="shared" si="0"/>
        <v>0</v>
      </c>
      <c r="T13" s="1690">
        <f t="shared" si="0"/>
        <v>0</v>
      </c>
      <c r="U13" s="1690">
        <f t="shared" si="0"/>
        <v>0</v>
      </c>
      <c r="V13" s="1690">
        <f t="shared" si="0"/>
        <v>0</v>
      </c>
      <c r="W13" s="1690">
        <f t="shared" si="3"/>
        <v>0</v>
      </c>
      <c r="X13" s="1693"/>
      <c r="Y13" s="1695"/>
    </row>
    <row r="14" spans="1:25" ht="43.5" customHeight="1">
      <c r="A14" s="1738">
        <v>10</v>
      </c>
      <c r="B14" s="1703" t="s">
        <v>632</v>
      </c>
      <c r="C14" s="1699" t="s">
        <v>207</v>
      </c>
      <c r="D14" s="1702"/>
      <c r="E14" s="1702">
        <f>1225635+330921</f>
        <v>1556556</v>
      </c>
      <c r="F14" s="1702">
        <f>1225635+330921</f>
        <v>1556556</v>
      </c>
      <c r="G14" s="1702">
        <f>1225635+330921</f>
        <v>1556556</v>
      </c>
      <c r="H14" s="1702">
        <v>1225635</v>
      </c>
      <c r="I14" s="1702">
        <v>330921</v>
      </c>
      <c r="J14" s="1692">
        <f t="shared" si="5"/>
        <v>1556556</v>
      </c>
      <c r="K14" s="1693">
        <f t="shared" si="1"/>
        <v>1</v>
      </c>
      <c r="L14" s="1700"/>
      <c r="M14" s="1701"/>
      <c r="N14" s="1701"/>
      <c r="O14" s="1704">
        <v>1000000</v>
      </c>
      <c r="P14" s="1704">
        <v>1000000</v>
      </c>
      <c r="Q14" s="1693">
        <f t="shared" si="2"/>
        <v>1</v>
      </c>
      <c r="R14" s="1695"/>
      <c r="S14" s="1700"/>
      <c r="T14" s="1690">
        <f t="shared" si="0"/>
        <v>1556556</v>
      </c>
      <c r="U14" s="1690">
        <f t="shared" si="0"/>
        <v>1556556</v>
      </c>
      <c r="V14" s="1690">
        <f t="shared" si="0"/>
        <v>556556</v>
      </c>
      <c r="W14" s="1690">
        <f t="shared" si="3"/>
        <v>556556</v>
      </c>
      <c r="X14" s="1693">
        <f t="shared" si="4"/>
        <v>1</v>
      </c>
      <c r="Y14" s="1695"/>
    </row>
    <row r="15" spans="1:25" ht="43.5" customHeight="1">
      <c r="A15" s="1738">
        <v>11</v>
      </c>
      <c r="B15" s="1703" t="s">
        <v>633</v>
      </c>
      <c r="C15" s="1699" t="s">
        <v>207</v>
      </c>
      <c r="D15" s="1702"/>
      <c r="E15" s="1702">
        <f>185826+50173</f>
        <v>235999</v>
      </c>
      <c r="F15" s="1702">
        <f>185826+50173</f>
        <v>235999</v>
      </c>
      <c r="G15" s="1702">
        <f>185826+50173</f>
        <v>235999</v>
      </c>
      <c r="H15" s="1702">
        <v>185826</v>
      </c>
      <c r="I15" s="1702">
        <v>50173</v>
      </c>
      <c r="J15" s="1692">
        <f t="shared" si="5"/>
        <v>235999</v>
      </c>
      <c r="K15" s="1693">
        <f t="shared" si="1"/>
        <v>1</v>
      </c>
      <c r="L15" s="1700"/>
      <c r="M15" s="1701"/>
      <c r="N15" s="1701"/>
      <c r="O15" s="1704"/>
      <c r="P15" s="1704"/>
      <c r="Q15" s="1693"/>
      <c r="R15" s="1695"/>
      <c r="S15" s="1700"/>
      <c r="T15" s="1690">
        <f t="shared" si="0"/>
        <v>235999</v>
      </c>
      <c r="U15" s="1690">
        <f t="shared" si="0"/>
        <v>235999</v>
      </c>
      <c r="V15" s="1690">
        <f t="shared" si="0"/>
        <v>235999</v>
      </c>
      <c r="W15" s="1690">
        <f t="shared" si="3"/>
        <v>235999</v>
      </c>
      <c r="X15" s="1693">
        <f t="shared" si="4"/>
        <v>1</v>
      </c>
      <c r="Y15" s="1695"/>
    </row>
    <row r="16" spans="1:25" ht="43.5" customHeight="1">
      <c r="A16" s="1738">
        <v>12</v>
      </c>
      <c r="B16" s="1703" t="s">
        <v>634</v>
      </c>
      <c r="C16" s="1699" t="s">
        <v>207</v>
      </c>
      <c r="D16" s="1702"/>
      <c r="E16" s="1702">
        <f>365000+98550</f>
        <v>463550</v>
      </c>
      <c r="F16" s="1702">
        <f>365000+98550</f>
        <v>463550</v>
      </c>
      <c r="G16" s="1702">
        <f>365000+98550</f>
        <v>463550</v>
      </c>
      <c r="H16" s="1702">
        <v>365000</v>
      </c>
      <c r="I16" s="1702">
        <v>98550</v>
      </c>
      <c r="J16" s="1692">
        <f t="shared" si="5"/>
        <v>463550</v>
      </c>
      <c r="K16" s="1693">
        <f t="shared" si="1"/>
        <v>1</v>
      </c>
      <c r="L16" s="1700"/>
      <c r="M16" s="1701"/>
      <c r="N16" s="1701"/>
      <c r="O16" s="1704"/>
      <c r="P16" s="1704"/>
      <c r="Q16" s="1693"/>
      <c r="R16" s="1695"/>
      <c r="S16" s="1700"/>
      <c r="T16" s="1690">
        <f t="shared" si="0"/>
        <v>463550</v>
      </c>
      <c r="U16" s="1690">
        <f t="shared" si="0"/>
        <v>463550</v>
      </c>
      <c r="V16" s="1690">
        <f t="shared" si="0"/>
        <v>463550</v>
      </c>
      <c r="W16" s="1690">
        <f t="shared" si="3"/>
        <v>463550</v>
      </c>
      <c r="X16" s="1693">
        <f t="shared" si="4"/>
        <v>1</v>
      </c>
      <c r="Y16" s="1695"/>
    </row>
    <row r="17" spans="1:25" ht="43.5" customHeight="1">
      <c r="A17" s="1738">
        <v>13</v>
      </c>
      <c r="B17" s="1703" t="s">
        <v>635</v>
      </c>
      <c r="C17" s="1705" t="s">
        <v>207</v>
      </c>
      <c r="D17" s="1702"/>
      <c r="E17" s="1702">
        <f>32362+8738</f>
        <v>41100</v>
      </c>
      <c r="F17" s="1702">
        <f>32362+8738</f>
        <v>41100</v>
      </c>
      <c r="G17" s="1702">
        <f>32362+8738</f>
        <v>41100</v>
      </c>
      <c r="H17" s="1702">
        <v>32362</v>
      </c>
      <c r="I17" s="1706">
        <v>8738</v>
      </c>
      <c r="J17" s="1692">
        <f t="shared" si="5"/>
        <v>41100</v>
      </c>
      <c r="K17" s="1693">
        <f t="shared" si="1"/>
        <v>1</v>
      </c>
      <c r="L17" s="1700"/>
      <c r="M17" s="1701"/>
      <c r="N17" s="1701"/>
      <c r="O17" s="1704"/>
      <c r="P17" s="1704"/>
      <c r="Q17" s="1693"/>
      <c r="R17" s="1695"/>
      <c r="S17" s="1700"/>
      <c r="T17" s="1690">
        <f t="shared" si="0"/>
        <v>41100</v>
      </c>
      <c r="U17" s="1690">
        <f t="shared" si="0"/>
        <v>41100</v>
      </c>
      <c r="V17" s="1690">
        <f t="shared" si="0"/>
        <v>41100</v>
      </c>
      <c r="W17" s="1690">
        <f t="shared" si="3"/>
        <v>41100</v>
      </c>
      <c r="X17" s="1693">
        <f>+W17/V17</f>
        <v>1</v>
      </c>
      <c r="Y17" s="1695"/>
    </row>
    <row r="18" spans="1:25" ht="43.5" customHeight="1">
      <c r="A18" s="1738">
        <v>14</v>
      </c>
      <c r="B18" s="1703" t="s">
        <v>655</v>
      </c>
      <c r="C18" s="1705" t="s">
        <v>207</v>
      </c>
      <c r="D18" s="1702"/>
      <c r="E18" s="1702"/>
      <c r="F18" s="1702">
        <f>105900+28593</f>
        <v>134493</v>
      </c>
      <c r="G18" s="1702">
        <f>105900+28593</f>
        <v>134493</v>
      </c>
      <c r="H18" s="1702">
        <v>105900</v>
      </c>
      <c r="I18" s="1706">
        <v>28593</v>
      </c>
      <c r="J18" s="1692">
        <f t="shared" si="5"/>
        <v>134493</v>
      </c>
      <c r="K18" s="1693">
        <f t="shared" si="1"/>
        <v>1</v>
      </c>
      <c r="L18" s="1700"/>
      <c r="M18" s="1701"/>
      <c r="N18" s="1701"/>
      <c r="O18" s="1704"/>
      <c r="P18" s="1704"/>
      <c r="Q18" s="1693"/>
      <c r="R18" s="1695"/>
      <c r="S18" s="1700"/>
      <c r="T18" s="1700"/>
      <c r="U18" s="1690">
        <f>+F18-N18</f>
        <v>134493</v>
      </c>
      <c r="V18" s="1690">
        <f>+G18-O18</f>
        <v>134493</v>
      </c>
      <c r="W18" s="1690">
        <f t="shared" si="3"/>
        <v>134493</v>
      </c>
      <c r="X18" s="1693">
        <f t="shared" si="4"/>
        <v>1</v>
      </c>
      <c r="Y18" s="1695"/>
    </row>
    <row r="19" spans="1:25" ht="43.5" customHeight="1">
      <c r="A19" s="1738">
        <v>15</v>
      </c>
      <c r="B19" s="1703" t="s">
        <v>674</v>
      </c>
      <c r="C19" s="1705" t="s">
        <v>207</v>
      </c>
      <c r="D19" s="1702"/>
      <c r="E19" s="1702"/>
      <c r="F19" s="1702"/>
      <c r="G19" s="1692">
        <v>109900</v>
      </c>
      <c r="H19" s="1702">
        <v>86535</v>
      </c>
      <c r="I19" s="1706">
        <v>23365</v>
      </c>
      <c r="J19" s="1692">
        <f t="shared" si="5"/>
        <v>109900</v>
      </c>
      <c r="K19" s="1693">
        <f t="shared" si="1"/>
        <v>1</v>
      </c>
      <c r="L19" s="1700"/>
      <c r="M19" s="1701"/>
      <c r="N19" s="1701"/>
      <c r="O19" s="1704"/>
      <c r="P19" s="1704"/>
      <c r="Q19" s="1693"/>
      <c r="R19" s="1695"/>
      <c r="S19" s="1700"/>
      <c r="T19" s="1700"/>
      <c r="U19" s="1690"/>
      <c r="V19" s="1690">
        <f>+G19-O19</f>
        <v>109900</v>
      </c>
      <c r="W19" s="1690">
        <f t="shared" si="3"/>
        <v>109900</v>
      </c>
      <c r="X19" s="1693">
        <f t="shared" si="4"/>
        <v>1</v>
      </c>
      <c r="Y19" s="1695"/>
    </row>
    <row r="20" spans="1:25" ht="43.5" customHeight="1" thickBot="1">
      <c r="A20" s="1738">
        <v>16</v>
      </c>
      <c r="B20" s="1703" t="s">
        <v>675</v>
      </c>
      <c r="C20" s="1705" t="s">
        <v>207</v>
      </c>
      <c r="D20" s="1702"/>
      <c r="E20" s="1702"/>
      <c r="F20" s="1702"/>
      <c r="G20" s="1692">
        <v>59000</v>
      </c>
      <c r="H20" s="1702">
        <v>46457</v>
      </c>
      <c r="I20" s="1706">
        <v>12543</v>
      </c>
      <c r="J20" s="1692">
        <f t="shared" si="5"/>
        <v>59000</v>
      </c>
      <c r="K20" s="1693">
        <f t="shared" si="1"/>
        <v>1</v>
      </c>
      <c r="L20" s="1700"/>
      <c r="M20" s="1701"/>
      <c r="N20" s="1701"/>
      <c r="O20" s="1704"/>
      <c r="P20" s="1704"/>
      <c r="Q20" s="1693"/>
      <c r="R20" s="1695"/>
      <c r="S20" s="1700"/>
      <c r="T20" s="1700"/>
      <c r="U20" s="1690"/>
      <c r="V20" s="1690">
        <f>+G20-O20</f>
        <v>59000</v>
      </c>
      <c r="W20" s="1690">
        <f t="shared" si="3"/>
        <v>59000</v>
      </c>
      <c r="X20" s="1693">
        <f t="shared" si="4"/>
        <v>1</v>
      </c>
      <c r="Y20" s="1695"/>
    </row>
    <row r="21" spans="1:25" ht="43.5" customHeight="1" hidden="1">
      <c r="A21" s="1738"/>
      <c r="B21" s="1703"/>
      <c r="C21" s="1699"/>
      <c r="D21" s="1702"/>
      <c r="E21" s="1702"/>
      <c r="F21" s="1702"/>
      <c r="G21" s="1702"/>
      <c r="H21" s="1702"/>
      <c r="I21" s="1706"/>
      <c r="J21" s="1707"/>
      <c r="K21" s="1708" t="e">
        <f t="shared" si="1"/>
        <v>#DIV/0!</v>
      </c>
      <c r="L21" s="1700"/>
      <c r="M21" s="1701"/>
      <c r="N21" s="1701"/>
      <c r="O21" s="1704"/>
      <c r="P21" s="1701"/>
      <c r="Q21" s="1708" t="e">
        <f>+P21/M21</f>
        <v>#DIV/0!</v>
      </c>
      <c r="R21" s="1695"/>
      <c r="S21" s="1700"/>
      <c r="T21" s="1700"/>
      <c r="U21" s="1690"/>
      <c r="V21" s="1702"/>
      <c r="W21" s="1702"/>
      <c r="X21" s="1708" t="e">
        <f>+W21/T21</f>
        <v>#DIV/0!</v>
      </c>
      <c r="Y21" s="1695"/>
    </row>
    <row r="22" spans="1:25" ht="29.25" customHeight="1" hidden="1" thickBot="1">
      <c r="A22" s="1738"/>
      <c r="B22" s="1709"/>
      <c r="C22" s="1699" t="s">
        <v>207</v>
      </c>
      <c r="D22" s="1702"/>
      <c r="E22" s="1702"/>
      <c r="F22" s="1702"/>
      <c r="G22" s="1702"/>
      <c r="H22" s="1702"/>
      <c r="I22" s="991"/>
      <c r="J22" s="991"/>
      <c r="K22" s="1710" t="e">
        <f t="shared" si="1"/>
        <v>#DIV/0!</v>
      </c>
      <c r="L22" s="1700"/>
      <c r="M22" s="1701"/>
      <c r="N22" s="1701"/>
      <c r="O22" s="1711"/>
      <c r="P22" s="1701"/>
      <c r="Q22" s="1710" t="e">
        <f>+P22/M22</f>
        <v>#DIV/0!</v>
      </c>
      <c r="R22" s="1695" t="e">
        <f>O22/M22</f>
        <v>#DIV/0!</v>
      </c>
      <c r="S22" s="1700"/>
      <c r="T22" s="1700"/>
      <c r="U22" s="1700"/>
      <c r="V22" s="1702">
        <f>G22-O22</f>
        <v>0</v>
      </c>
      <c r="W22" s="1702">
        <f>H22-P22</f>
        <v>0</v>
      </c>
      <c r="X22" s="1710" t="e">
        <f>+W22/T22</f>
        <v>#DIV/0!</v>
      </c>
      <c r="Y22" s="1695" t="e">
        <f>V22/T22</f>
        <v>#DIV/0!</v>
      </c>
    </row>
    <row r="23" spans="1:26" ht="31.5" customHeight="1" thickBot="1">
      <c r="A23" s="1712" t="s">
        <v>1</v>
      </c>
      <c r="B23" s="1713"/>
      <c r="C23" s="1673"/>
      <c r="D23" s="1714">
        <f>SUM(D5:D13)</f>
        <v>98334473</v>
      </c>
      <c r="E23" s="1714">
        <f aca="true" t="shared" si="6" ref="E23:P23">SUM(E5:E22)</f>
        <v>120483508</v>
      </c>
      <c r="F23" s="1714">
        <f t="shared" si="6"/>
        <v>120618001</v>
      </c>
      <c r="G23" s="1714">
        <f t="shared" si="6"/>
        <v>105452749</v>
      </c>
      <c r="H23" s="1714">
        <f t="shared" si="6"/>
        <v>79712654</v>
      </c>
      <c r="I23" s="1715">
        <f t="shared" si="6"/>
        <v>8148911</v>
      </c>
      <c r="J23" s="1715">
        <f t="shared" si="6"/>
        <v>87861565</v>
      </c>
      <c r="K23" s="1716">
        <f t="shared" si="1"/>
        <v>0.8331842065112973</v>
      </c>
      <c r="L23" s="1714">
        <f t="shared" si="6"/>
        <v>86862009</v>
      </c>
      <c r="M23" s="1715">
        <f t="shared" si="6"/>
        <v>86862009</v>
      </c>
      <c r="N23" s="1715">
        <f t="shared" si="6"/>
        <v>86225622</v>
      </c>
      <c r="O23" s="1715">
        <f t="shared" si="6"/>
        <v>76484294</v>
      </c>
      <c r="P23" s="1715">
        <f t="shared" si="6"/>
        <v>72209637</v>
      </c>
      <c r="Q23" s="1716">
        <f>+P23/O23</f>
        <v>0.9441106562348605</v>
      </c>
      <c r="R23" s="1717">
        <f>P23/O23</f>
        <v>0.9441106562348605</v>
      </c>
      <c r="S23" s="1714">
        <f>SUM(S5:S22)</f>
        <v>11472464</v>
      </c>
      <c r="T23" s="1714">
        <f>SUM(T5:T22)</f>
        <v>33621499</v>
      </c>
      <c r="U23" s="1714">
        <f>SUM(U5:U22)</f>
        <v>34392379</v>
      </c>
      <c r="V23" s="1714">
        <f>SUM(V5:V22)</f>
        <v>28968455</v>
      </c>
      <c r="W23" s="1714">
        <f>SUM(W5:W22)</f>
        <v>15651928</v>
      </c>
      <c r="X23" s="1716">
        <f>+W23/V23</f>
        <v>0.5403093813598274</v>
      </c>
      <c r="Y23" s="1717">
        <f>W23/V23</f>
        <v>0.5403093813598274</v>
      </c>
      <c r="Z23" s="1739"/>
    </row>
    <row r="24" spans="1:26" ht="15.75">
      <c r="A24" s="1669"/>
      <c r="B24" s="1669"/>
      <c r="C24" s="1718"/>
      <c r="D24" s="1719" t="str">
        <f>IF(D23='[2]4.sz.m.ÖNK kiadás'!E18," ","HIBA - nem egyenlő főlappal")</f>
        <v> </v>
      </c>
      <c r="E24" s="1719"/>
      <c r="F24" s="1719"/>
      <c r="G24" s="1719"/>
      <c r="H24" s="1719"/>
      <c r="I24" s="1719"/>
      <c r="J24" s="1719"/>
      <c r="K24" s="1719"/>
      <c r="L24" s="1719"/>
      <c r="M24" s="1719"/>
      <c r="N24" s="1719"/>
      <c r="O24" s="1719"/>
      <c r="P24" s="1719"/>
      <c r="Q24" s="1719"/>
      <c r="R24" s="1719"/>
      <c r="S24" s="1719"/>
      <c r="U24" s="1739"/>
      <c r="X24" s="1739"/>
      <c r="Z24" s="1739"/>
    </row>
    <row r="25" spans="1:24" ht="15.75">
      <c r="A25" s="1669"/>
      <c r="B25" s="1669"/>
      <c r="C25" s="1718"/>
      <c r="D25" s="1740" t="str">
        <f>IF(L23+S23=D23," ","HIBA-NEM EGYENLŐ")</f>
        <v> </v>
      </c>
      <c r="E25" s="1719"/>
      <c r="F25" s="1719"/>
      <c r="G25" s="1719"/>
      <c r="H25" s="1719"/>
      <c r="I25" s="1719"/>
      <c r="J25" s="1719"/>
      <c r="K25" s="1719"/>
      <c r="L25" s="1719"/>
      <c r="M25" s="1719"/>
      <c r="N25" s="1719"/>
      <c r="O25" s="1719"/>
      <c r="P25" s="1719"/>
      <c r="Q25" s="1719"/>
      <c r="R25" s="1719"/>
      <c r="S25" s="1719"/>
      <c r="U25" s="1739"/>
      <c r="V25" s="1739"/>
      <c r="X25" s="1739"/>
    </row>
    <row r="26" spans="1:19" ht="14.25">
      <c r="A26" s="1668" t="s">
        <v>60</v>
      </c>
      <c r="B26" s="1668"/>
      <c r="C26" s="1668"/>
      <c r="D26" s="1668"/>
      <c r="E26" s="1668"/>
      <c r="F26" s="1668"/>
      <c r="G26" s="1668"/>
      <c r="H26" s="1668"/>
      <c r="I26" s="1668"/>
      <c r="J26" s="1668"/>
      <c r="K26" s="1668"/>
      <c r="L26" s="1668"/>
      <c r="M26" s="1668"/>
      <c r="N26" s="1668"/>
      <c r="O26" s="1668"/>
      <c r="P26" s="1668"/>
      <c r="Q26" s="1668"/>
      <c r="R26" s="1668"/>
      <c r="S26" s="1668"/>
    </row>
    <row r="27" spans="1:19" ht="13.5" thickBot="1">
      <c r="A27" s="1741"/>
      <c r="B27" s="1741"/>
      <c r="D27" s="1741"/>
      <c r="E27" s="1741"/>
      <c r="F27" s="1741"/>
      <c r="G27" s="1741"/>
      <c r="H27" s="1741"/>
      <c r="I27" s="1741"/>
      <c r="J27" s="1741"/>
      <c r="K27" s="1741"/>
      <c r="L27" s="1741"/>
      <c r="M27" s="1741"/>
      <c r="N27" s="1741"/>
      <c r="O27" s="1741"/>
      <c r="P27" s="1741"/>
      <c r="Q27" s="1741"/>
      <c r="R27" s="1741"/>
      <c r="S27" s="1741"/>
    </row>
    <row r="28" spans="1:25" ht="29.25" customHeight="1" thickBot="1">
      <c r="A28" s="1671" t="s">
        <v>6</v>
      </c>
      <c r="B28" s="1672" t="s">
        <v>31</v>
      </c>
      <c r="C28" s="1673" t="s">
        <v>266</v>
      </c>
      <c r="D28" s="1674" t="s">
        <v>5</v>
      </c>
      <c r="E28" s="1675"/>
      <c r="F28" s="1675"/>
      <c r="G28" s="1675"/>
      <c r="H28" s="1675"/>
      <c r="I28" s="1675"/>
      <c r="J28" s="1675"/>
      <c r="K28" s="1676"/>
      <c r="L28" s="1677" t="s">
        <v>267</v>
      </c>
      <c r="M28" s="1678"/>
      <c r="N28" s="1678"/>
      <c r="O28" s="1678"/>
      <c r="P28" s="1678"/>
      <c r="Q28" s="1678"/>
      <c r="R28" s="1679"/>
      <c r="S28" s="1677" t="s">
        <v>26</v>
      </c>
      <c r="T28" s="1678"/>
      <c r="U28" s="1678"/>
      <c r="V28" s="1678"/>
      <c r="W28" s="1678"/>
      <c r="X28" s="1678"/>
      <c r="Y28" s="1679"/>
    </row>
    <row r="29" spans="1:25" ht="28.5" customHeight="1" thickBot="1">
      <c r="A29" s="1720"/>
      <c r="B29" s="1721"/>
      <c r="C29" s="1722"/>
      <c r="D29" s="1684" t="s">
        <v>65</v>
      </c>
      <c r="E29" s="1685" t="s">
        <v>227</v>
      </c>
      <c r="F29" s="1685" t="s">
        <v>230</v>
      </c>
      <c r="G29" s="1686" t="s">
        <v>232</v>
      </c>
      <c r="H29" s="1686" t="s">
        <v>672</v>
      </c>
      <c r="I29" s="1686" t="s">
        <v>673</v>
      </c>
      <c r="J29" s="1687" t="s">
        <v>235</v>
      </c>
      <c r="K29" s="1688" t="s">
        <v>236</v>
      </c>
      <c r="L29" s="1684" t="s">
        <v>65</v>
      </c>
      <c r="M29" s="1685" t="s">
        <v>227</v>
      </c>
      <c r="N29" s="1685" t="s">
        <v>230</v>
      </c>
      <c r="O29" s="1686" t="s">
        <v>232</v>
      </c>
      <c r="P29" s="1687" t="s">
        <v>235</v>
      </c>
      <c r="Q29" s="1723" t="s">
        <v>236</v>
      </c>
      <c r="R29" s="1687" t="s">
        <v>236</v>
      </c>
      <c r="S29" s="1684" t="s">
        <v>65</v>
      </c>
      <c r="T29" s="1685" t="s">
        <v>227</v>
      </c>
      <c r="U29" s="1685" t="s">
        <v>230</v>
      </c>
      <c r="V29" s="1686" t="s">
        <v>232</v>
      </c>
      <c r="W29" s="1687" t="s">
        <v>235</v>
      </c>
      <c r="X29" s="1723" t="s">
        <v>236</v>
      </c>
      <c r="Y29" s="1687" t="s">
        <v>236</v>
      </c>
    </row>
    <row r="30" spans="1:26" ht="29.25" customHeight="1">
      <c r="A30" s="1742">
        <v>1</v>
      </c>
      <c r="B30" s="1724" t="s">
        <v>573</v>
      </c>
      <c r="C30" s="1705" t="s">
        <v>207</v>
      </c>
      <c r="D30" s="1691">
        <v>116726334</v>
      </c>
      <c r="E30" s="1691">
        <f>116726334+9361240+2527535</f>
        <v>128615109</v>
      </c>
      <c r="F30" s="1691">
        <f>116726334+9361240+2527535</f>
        <v>128615109</v>
      </c>
      <c r="G30" s="1691">
        <f>116726334+9361240+2527535</f>
        <v>128615109</v>
      </c>
      <c r="H30" s="1725">
        <f>4000749+14002620+29567598+14002619+14783799</f>
        <v>76357385</v>
      </c>
      <c r="I30" s="1725">
        <f>1596650+1080202+3780707+7983251+3780707+3991626</f>
        <v>22213143</v>
      </c>
      <c r="J30" s="1726">
        <f>+H30+I30</f>
        <v>98570528</v>
      </c>
      <c r="K30" s="1693">
        <f aca="true" t="shared" si="7" ref="K30:K45">+J30/G30</f>
        <v>0.7663992882826853</v>
      </c>
      <c r="L30" s="1727">
        <v>76299528</v>
      </c>
      <c r="M30" s="1727">
        <v>76299528</v>
      </c>
      <c r="N30" s="1727">
        <v>76299528</v>
      </c>
      <c r="O30" s="1727">
        <v>76299528</v>
      </c>
      <c r="P30" s="1727">
        <v>76299528</v>
      </c>
      <c r="Q30" s="1728">
        <f>+P30/O30</f>
        <v>1</v>
      </c>
      <c r="R30" s="1695"/>
      <c r="S30" s="1691">
        <f aca="true" t="shared" si="8" ref="S30:U40">+D30-L30</f>
        <v>40426806</v>
      </c>
      <c r="T30" s="1691">
        <f t="shared" si="8"/>
        <v>52315581</v>
      </c>
      <c r="U30" s="1691">
        <f t="shared" si="8"/>
        <v>52315581</v>
      </c>
      <c r="V30" s="1691">
        <f aca="true" t="shared" si="9" ref="V30:V44">G30-O30</f>
        <v>52315581</v>
      </c>
      <c r="W30" s="1691">
        <f>J30-P30</f>
        <v>22271000</v>
      </c>
      <c r="X30" s="1728">
        <f>+W30/V30</f>
        <v>0.42570491571143976</v>
      </c>
      <c r="Y30" s="1695">
        <f aca="true" t="shared" si="10" ref="Y30:Y36">W30/V30</f>
        <v>0.42570491571143976</v>
      </c>
      <c r="Z30" s="1739"/>
    </row>
    <row r="31" spans="1:26" ht="29.25" customHeight="1">
      <c r="A31" s="1743">
        <v>2</v>
      </c>
      <c r="B31" s="1724" t="s">
        <v>574</v>
      </c>
      <c r="C31" s="1705" t="s">
        <v>207</v>
      </c>
      <c r="D31" s="1691">
        <v>30446992</v>
      </c>
      <c r="E31" s="1691">
        <v>30446992</v>
      </c>
      <c r="F31" s="1691">
        <v>30446992</v>
      </c>
      <c r="G31" s="1691">
        <f>30446992+913581</f>
        <v>31360573</v>
      </c>
      <c r="H31" s="1729">
        <f>300000+23974012</f>
        <v>24274012</v>
      </c>
      <c r="I31" s="1729">
        <f>81000+6472983+532578</f>
        <v>7086561</v>
      </c>
      <c r="J31" s="1731">
        <f aca="true" t="shared" si="11" ref="J31:J45">+H31+I31</f>
        <v>31360573</v>
      </c>
      <c r="K31" s="1693">
        <f t="shared" si="7"/>
        <v>1</v>
      </c>
      <c r="L31" s="1700">
        <v>6661716</v>
      </c>
      <c r="M31" s="1700">
        <v>6661716</v>
      </c>
      <c r="N31" s="1700">
        <v>6661716</v>
      </c>
      <c r="O31" s="1700">
        <v>6661716</v>
      </c>
      <c r="P31" s="1700">
        <v>6661716</v>
      </c>
      <c r="Q31" s="1730">
        <f>+P31/O31</f>
        <v>1</v>
      </c>
      <c r="R31" s="1695"/>
      <c r="S31" s="1691">
        <f t="shared" si="8"/>
        <v>23785276</v>
      </c>
      <c r="T31" s="1691">
        <f t="shared" si="8"/>
        <v>23785276</v>
      </c>
      <c r="U31" s="1691">
        <f t="shared" si="8"/>
        <v>23785276</v>
      </c>
      <c r="V31" s="1691">
        <f t="shared" si="9"/>
        <v>24698857</v>
      </c>
      <c r="W31" s="1691">
        <f aca="true" t="shared" si="12" ref="W31:W45">J31-P31</f>
        <v>24698857</v>
      </c>
      <c r="X31" s="1730">
        <f>+W31/V31</f>
        <v>1</v>
      </c>
      <c r="Y31" s="1695">
        <f t="shared" si="10"/>
        <v>1</v>
      </c>
      <c r="Z31" s="1739"/>
    </row>
    <row r="32" spans="1:25" ht="29.25" customHeight="1">
      <c r="A32" s="1743">
        <v>3</v>
      </c>
      <c r="B32" s="1724" t="s">
        <v>575</v>
      </c>
      <c r="C32" s="1705" t="s">
        <v>207</v>
      </c>
      <c r="D32" s="1691">
        <v>12595748</v>
      </c>
      <c r="E32" s="1691">
        <v>12595748</v>
      </c>
      <c r="F32" s="1691">
        <v>12595748</v>
      </c>
      <c r="G32" s="1691">
        <v>12595748</v>
      </c>
      <c r="H32" s="1702">
        <f>3500000+884331+201508+36648+66233+2090111+100000+200000+763566</f>
        <v>7842397</v>
      </c>
      <c r="I32" s="1702">
        <f>238769+54407+206163+27000+54000+17883</f>
        <v>598222</v>
      </c>
      <c r="J32" s="1731">
        <f t="shared" si="11"/>
        <v>8440619</v>
      </c>
      <c r="K32" s="1693">
        <f t="shared" si="7"/>
        <v>0.6701165345638862</v>
      </c>
      <c r="L32" s="1700"/>
      <c r="M32" s="1700"/>
      <c r="N32" s="1700"/>
      <c r="O32" s="1700"/>
      <c r="P32" s="1700"/>
      <c r="Q32" s="1730"/>
      <c r="R32" s="1695"/>
      <c r="S32" s="1691">
        <f t="shared" si="8"/>
        <v>12595748</v>
      </c>
      <c r="T32" s="1691">
        <f t="shared" si="8"/>
        <v>12595748</v>
      </c>
      <c r="U32" s="1691">
        <f t="shared" si="8"/>
        <v>12595748</v>
      </c>
      <c r="V32" s="1691">
        <f t="shared" si="9"/>
        <v>12595748</v>
      </c>
      <c r="W32" s="1691">
        <f t="shared" si="12"/>
        <v>8440619</v>
      </c>
      <c r="X32" s="1730">
        <f aca="true" t="shared" si="13" ref="X32:X47">+W32/V32</f>
        <v>0.6701165345638862</v>
      </c>
      <c r="Y32" s="1695">
        <f t="shared" si="10"/>
        <v>0.6701165345638862</v>
      </c>
    </row>
    <row r="33" spans="1:25" ht="29.25" customHeight="1">
      <c r="A33" s="1743">
        <v>4</v>
      </c>
      <c r="B33" s="1724" t="s">
        <v>576</v>
      </c>
      <c r="C33" s="1705" t="s">
        <v>207</v>
      </c>
      <c r="D33" s="1691">
        <v>8184630</v>
      </c>
      <c r="E33" s="1691">
        <v>8184630</v>
      </c>
      <c r="F33" s="1691">
        <v>8184630</v>
      </c>
      <c r="G33" s="1691">
        <v>8184630</v>
      </c>
      <c r="H33" s="1691">
        <f>2516550+3928040</f>
        <v>6444590</v>
      </c>
      <c r="I33" s="1691">
        <f>679469+1060571</f>
        <v>1740040</v>
      </c>
      <c r="J33" s="1731">
        <f t="shared" si="11"/>
        <v>8184630</v>
      </c>
      <c r="K33" s="1693">
        <f t="shared" si="7"/>
        <v>1</v>
      </c>
      <c r="L33" s="1691"/>
      <c r="M33" s="1691"/>
      <c r="N33" s="1691"/>
      <c r="O33" s="1691"/>
      <c r="P33" s="1691"/>
      <c r="Q33" s="1693"/>
      <c r="R33" s="1695"/>
      <c r="S33" s="1691">
        <f t="shared" si="8"/>
        <v>8184630</v>
      </c>
      <c r="T33" s="1691">
        <f t="shared" si="8"/>
        <v>8184630</v>
      </c>
      <c r="U33" s="1691">
        <f t="shared" si="8"/>
        <v>8184630</v>
      </c>
      <c r="V33" s="1691">
        <f t="shared" si="9"/>
        <v>8184630</v>
      </c>
      <c r="W33" s="1691">
        <f t="shared" si="12"/>
        <v>8184630</v>
      </c>
      <c r="X33" s="1693">
        <f t="shared" si="13"/>
        <v>1</v>
      </c>
      <c r="Y33" s="1695">
        <f t="shared" si="10"/>
        <v>1</v>
      </c>
    </row>
    <row r="34" spans="1:25" ht="29.25" customHeight="1">
      <c r="A34" s="1743">
        <v>5</v>
      </c>
      <c r="B34" s="1724" t="s">
        <v>577</v>
      </c>
      <c r="C34" s="1705" t="s">
        <v>207</v>
      </c>
      <c r="D34" s="1691">
        <v>31147501</v>
      </c>
      <c r="E34" s="1691">
        <f>31147501+917773+247799</f>
        <v>32313073</v>
      </c>
      <c r="F34" s="1691">
        <f>31147501+917773+247799</f>
        <v>32313073</v>
      </c>
      <c r="G34" s="1691">
        <f>31147501+917773+247799</f>
        <v>32313073</v>
      </c>
      <c r="H34" s="1691">
        <f>5623713</f>
        <v>5623713</v>
      </c>
      <c r="I34" s="1691">
        <v>1518409</v>
      </c>
      <c r="J34" s="1731">
        <f t="shared" si="11"/>
        <v>7142122</v>
      </c>
      <c r="K34" s="1693">
        <f t="shared" si="7"/>
        <v>0.22102886964665971</v>
      </c>
      <c r="L34" s="1700">
        <v>15000000</v>
      </c>
      <c r="M34" s="1700">
        <v>15000000</v>
      </c>
      <c r="N34" s="1700">
        <v>15000000</v>
      </c>
      <c r="O34" s="1700">
        <v>15000000</v>
      </c>
      <c r="P34" s="1700">
        <v>0</v>
      </c>
      <c r="Q34" s="1730">
        <f>+P34/O34</f>
        <v>0</v>
      </c>
      <c r="R34" s="1695"/>
      <c r="S34" s="1691">
        <f t="shared" si="8"/>
        <v>16147501</v>
      </c>
      <c r="T34" s="1691">
        <f t="shared" si="8"/>
        <v>17313073</v>
      </c>
      <c r="U34" s="1691">
        <f t="shared" si="8"/>
        <v>17313073</v>
      </c>
      <c r="V34" s="1691">
        <f t="shared" si="9"/>
        <v>17313073</v>
      </c>
      <c r="W34" s="1691">
        <f t="shared" si="12"/>
        <v>7142122</v>
      </c>
      <c r="X34" s="1730">
        <f t="shared" si="13"/>
        <v>0.41252768933626055</v>
      </c>
      <c r="Y34" s="1695">
        <f t="shared" si="10"/>
        <v>0.41252768933626055</v>
      </c>
    </row>
    <row r="35" spans="1:25" ht="29.25" customHeight="1">
      <c r="A35" s="1743">
        <v>6</v>
      </c>
      <c r="B35" s="1724" t="s">
        <v>578</v>
      </c>
      <c r="C35" s="1705" t="s">
        <v>207</v>
      </c>
      <c r="D35" s="1691">
        <v>14572458</v>
      </c>
      <c r="E35" s="1691">
        <v>14572458</v>
      </c>
      <c r="F35" s="1691">
        <v>14572458</v>
      </c>
      <c r="G35" s="1691">
        <v>14572458</v>
      </c>
      <c r="H35" s="1691">
        <f>8996370+80000+1627680+300000</f>
        <v>11004050</v>
      </c>
      <c r="I35" s="1691">
        <f>21600+2429020+520474</f>
        <v>2971094</v>
      </c>
      <c r="J35" s="1731">
        <f t="shared" si="11"/>
        <v>13975144</v>
      </c>
      <c r="K35" s="1693">
        <f t="shared" si="7"/>
        <v>0.9590107585144524</v>
      </c>
      <c r="L35" s="1696"/>
      <c r="M35" s="1696"/>
      <c r="N35" s="1696"/>
      <c r="O35" s="1696"/>
      <c r="P35" s="1696"/>
      <c r="Q35" s="1732"/>
      <c r="R35" s="1695"/>
      <c r="S35" s="1691">
        <f t="shared" si="8"/>
        <v>14572458</v>
      </c>
      <c r="T35" s="1691">
        <f t="shared" si="8"/>
        <v>14572458</v>
      </c>
      <c r="U35" s="1691">
        <f t="shared" si="8"/>
        <v>14572458</v>
      </c>
      <c r="V35" s="1691">
        <f t="shared" si="9"/>
        <v>14572458</v>
      </c>
      <c r="W35" s="1691">
        <f t="shared" si="12"/>
        <v>13975144</v>
      </c>
      <c r="X35" s="1732">
        <f t="shared" si="13"/>
        <v>0.9590107585144524</v>
      </c>
      <c r="Y35" s="1695">
        <f t="shared" si="10"/>
        <v>0.9590107585144524</v>
      </c>
    </row>
    <row r="36" spans="1:25" ht="29.25" customHeight="1">
      <c r="A36" s="1743">
        <v>7</v>
      </c>
      <c r="B36" s="1724" t="s">
        <v>579</v>
      </c>
      <c r="C36" s="1705" t="s">
        <v>207</v>
      </c>
      <c r="D36" s="1691">
        <v>10000000</v>
      </c>
      <c r="E36" s="1691">
        <f>10000000+12289384+3318134</f>
        <v>25607518</v>
      </c>
      <c r="F36" s="1691">
        <f>10000000+12289384+3318134</f>
        <v>25607518</v>
      </c>
      <c r="G36" s="1691">
        <f>10000000+12289384+3318134+203200</f>
        <v>25810718</v>
      </c>
      <c r="H36" s="1691">
        <f>20163400+160000</f>
        <v>20323400</v>
      </c>
      <c r="I36" s="1691">
        <f>5444118+43200</f>
        <v>5487318</v>
      </c>
      <c r="J36" s="1731">
        <f t="shared" si="11"/>
        <v>25810718</v>
      </c>
      <c r="K36" s="1693">
        <f t="shared" si="7"/>
        <v>1</v>
      </c>
      <c r="L36" s="1696"/>
      <c r="M36" s="1696"/>
      <c r="N36" s="1696"/>
      <c r="O36" s="1696"/>
      <c r="P36" s="1696"/>
      <c r="Q36" s="1732"/>
      <c r="R36" s="1695"/>
      <c r="S36" s="1691">
        <f t="shared" si="8"/>
        <v>10000000</v>
      </c>
      <c r="T36" s="1691">
        <f t="shared" si="8"/>
        <v>25607518</v>
      </c>
      <c r="U36" s="1691">
        <f t="shared" si="8"/>
        <v>25607518</v>
      </c>
      <c r="V36" s="1691">
        <f t="shared" si="9"/>
        <v>25810718</v>
      </c>
      <c r="W36" s="1691">
        <f t="shared" si="12"/>
        <v>25810718</v>
      </c>
      <c r="X36" s="1732">
        <f t="shared" si="13"/>
        <v>1</v>
      </c>
      <c r="Y36" s="1695">
        <f t="shared" si="10"/>
        <v>1</v>
      </c>
    </row>
    <row r="37" spans="1:25" ht="29.25" customHeight="1">
      <c r="A37" s="1743">
        <v>8</v>
      </c>
      <c r="B37" s="1724" t="s">
        <v>584</v>
      </c>
      <c r="C37" s="1705" t="s">
        <v>207</v>
      </c>
      <c r="D37" s="1691">
        <f>1500000*1.27</f>
        <v>1905000</v>
      </c>
      <c r="E37" s="1691">
        <f>1500000*1.27</f>
        <v>1905000</v>
      </c>
      <c r="F37" s="1691">
        <f>1500000*1.27</f>
        <v>1905000</v>
      </c>
      <c r="G37" s="1691">
        <f>1500000*1.27</f>
        <v>1905000</v>
      </c>
      <c r="H37" s="1691">
        <v>1235000</v>
      </c>
      <c r="I37" s="1691">
        <v>333450</v>
      </c>
      <c r="J37" s="1731">
        <f t="shared" si="11"/>
        <v>1568450</v>
      </c>
      <c r="K37" s="1693">
        <f t="shared" si="7"/>
        <v>0.8233333333333334</v>
      </c>
      <c r="L37" s="1696"/>
      <c r="M37" s="1696"/>
      <c r="N37" s="1696"/>
      <c r="O37" s="1696"/>
      <c r="P37" s="1696"/>
      <c r="Q37" s="1732"/>
      <c r="R37" s="1695"/>
      <c r="S37" s="1691">
        <f t="shared" si="8"/>
        <v>1905000</v>
      </c>
      <c r="T37" s="1691">
        <f t="shared" si="8"/>
        <v>1905000</v>
      </c>
      <c r="U37" s="1691">
        <f t="shared" si="8"/>
        <v>1905000</v>
      </c>
      <c r="V37" s="1691">
        <f t="shared" si="9"/>
        <v>1905000</v>
      </c>
      <c r="W37" s="1691">
        <f t="shared" si="12"/>
        <v>1568450</v>
      </c>
      <c r="X37" s="1732">
        <f t="shared" si="13"/>
        <v>0.8233333333333334</v>
      </c>
      <c r="Y37" s="1695"/>
    </row>
    <row r="38" spans="1:25" ht="48.75" customHeight="1">
      <c r="A38" s="1743">
        <v>9</v>
      </c>
      <c r="B38" s="1724" t="s">
        <v>580</v>
      </c>
      <c r="C38" s="1705" t="s">
        <v>206</v>
      </c>
      <c r="D38" s="1691">
        <v>4293132</v>
      </c>
      <c r="E38" s="1691">
        <v>4293132</v>
      </c>
      <c r="F38" s="1691">
        <v>4293132</v>
      </c>
      <c r="G38" s="1691">
        <v>4293132</v>
      </c>
      <c r="H38" s="1691"/>
      <c r="I38" s="1691"/>
      <c r="J38" s="1731">
        <f t="shared" si="11"/>
        <v>0</v>
      </c>
      <c r="K38" s="1693">
        <f t="shared" si="7"/>
        <v>0</v>
      </c>
      <c r="L38" s="1691">
        <v>4293132</v>
      </c>
      <c r="M38" s="1691">
        <v>4293132</v>
      </c>
      <c r="N38" s="1691">
        <v>4293132</v>
      </c>
      <c r="O38" s="1691">
        <v>4293132</v>
      </c>
      <c r="P38" s="1691">
        <v>0</v>
      </c>
      <c r="Q38" s="1693">
        <f>+P38/O38</f>
        <v>0</v>
      </c>
      <c r="R38" s="1695"/>
      <c r="S38" s="1691">
        <f t="shared" si="8"/>
        <v>0</v>
      </c>
      <c r="T38" s="1691">
        <f t="shared" si="8"/>
        <v>0</v>
      </c>
      <c r="U38" s="1691">
        <f t="shared" si="8"/>
        <v>0</v>
      </c>
      <c r="V38" s="1691">
        <f t="shared" si="9"/>
        <v>0</v>
      </c>
      <c r="W38" s="1691">
        <f t="shared" si="12"/>
        <v>0</v>
      </c>
      <c r="X38" s="1693"/>
      <c r="Y38" s="1695" t="e">
        <f>V38/T38</f>
        <v>#DIV/0!</v>
      </c>
    </row>
    <row r="39" spans="1:25" ht="28.5" customHeight="1">
      <c r="A39" s="1743">
        <v>10</v>
      </c>
      <c r="B39" s="1724" t="s">
        <v>581</v>
      </c>
      <c r="C39" s="1705" t="s">
        <v>207</v>
      </c>
      <c r="D39" s="1691">
        <v>1674527</v>
      </c>
      <c r="E39" s="1691">
        <v>1674527</v>
      </c>
      <c r="F39" s="1691">
        <v>1674527</v>
      </c>
      <c r="G39" s="1691">
        <f>1674527+48216</f>
        <v>1722743</v>
      </c>
      <c r="H39" s="1691">
        <f>693633+253292+401600+7965</f>
        <v>1356490</v>
      </c>
      <c r="I39" s="1691">
        <f>187281+108432+2151+68389</f>
        <v>366253</v>
      </c>
      <c r="J39" s="1731">
        <f t="shared" si="11"/>
        <v>1722743</v>
      </c>
      <c r="K39" s="1693">
        <f t="shared" si="7"/>
        <v>1</v>
      </c>
      <c r="L39" s="1696"/>
      <c r="M39" s="1696"/>
      <c r="N39" s="1696"/>
      <c r="O39" s="1697"/>
      <c r="P39" s="1697"/>
      <c r="Q39" s="1733"/>
      <c r="R39" s="1695"/>
      <c r="S39" s="1691">
        <f t="shared" si="8"/>
        <v>1674527</v>
      </c>
      <c r="T39" s="1691">
        <f t="shared" si="8"/>
        <v>1674527</v>
      </c>
      <c r="U39" s="1691">
        <f t="shared" si="8"/>
        <v>1674527</v>
      </c>
      <c r="V39" s="1691">
        <f t="shared" si="9"/>
        <v>1722743</v>
      </c>
      <c r="W39" s="1691">
        <f t="shared" si="12"/>
        <v>1722743</v>
      </c>
      <c r="X39" s="1733">
        <f t="shared" si="13"/>
        <v>1</v>
      </c>
      <c r="Y39" s="1695"/>
    </row>
    <row r="40" spans="1:25" ht="28.5" customHeight="1">
      <c r="A40" s="1743">
        <v>11</v>
      </c>
      <c r="B40" s="1724" t="s">
        <v>582</v>
      </c>
      <c r="C40" s="1705" t="s">
        <v>207</v>
      </c>
      <c r="D40" s="1691">
        <v>4762000</v>
      </c>
      <c r="E40" s="1691">
        <f>4762000-902358-243636-182100-49167</f>
        <v>3384739</v>
      </c>
      <c r="F40" s="1691">
        <f>4762000-902358-243636-182100-49167-192639-52012</f>
        <v>3140088</v>
      </c>
      <c r="G40" s="1691">
        <f>4762000-902358-243636-182100-49167-192639-52012</f>
        <v>3140088</v>
      </c>
      <c r="H40" s="1691">
        <f>500000+1972510</f>
        <v>2472510</v>
      </c>
      <c r="I40" s="1691">
        <v>135000</v>
      </c>
      <c r="J40" s="1731">
        <f t="shared" si="11"/>
        <v>2607510</v>
      </c>
      <c r="K40" s="1693">
        <f t="shared" si="7"/>
        <v>0.8303939252657887</v>
      </c>
      <c r="L40" s="1696"/>
      <c r="M40" s="1696"/>
      <c r="N40" s="1696"/>
      <c r="O40" s="1697"/>
      <c r="P40" s="1697"/>
      <c r="Q40" s="1733"/>
      <c r="R40" s="1695"/>
      <c r="S40" s="1691">
        <f t="shared" si="8"/>
        <v>4762000</v>
      </c>
      <c r="T40" s="1691">
        <f t="shared" si="8"/>
        <v>3384739</v>
      </c>
      <c r="U40" s="1691">
        <f t="shared" si="8"/>
        <v>3140088</v>
      </c>
      <c r="V40" s="1691">
        <f t="shared" si="9"/>
        <v>3140088</v>
      </c>
      <c r="W40" s="1691">
        <f t="shared" si="12"/>
        <v>2607510</v>
      </c>
      <c r="X40" s="1733">
        <f t="shared" si="13"/>
        <v>0.8303939252657887</v>
      </c>
      <c r="Y40" s="1695"/>
    </row>
    <row r="41" spans="1:25" ht="48.75" customHeight="1">
      <c r="A41" s="1743">
        <v>12</v>
      </c>
      <c r="B41" s="1724" t="s">
        <v>652</v>
      </c>
      <c r="C41" s="1705" t="s">
        <v>207</v>
      </c>
      <c r="D41" s="1691"/>
      <c r="E41" s="1691"/>
      <c r="F41" s="1691">
        <f>1476405+398629</f>
        <v>1875034</v>
      </c>
      <c r="G41" s="1691">
        <f>1476405+398629</f>
        <v>1875034</v>
      </c>
      <c r="H41" s="1691">
        <v>1476405</v>
      </c>
      <c r="I41" s="1691">
        <v>398629</v>
      </c>
      <c r="J41" s="1731">
        <f t="shared" si="11"/>
        <v>1875034</v>
      </c>
      <c r="K41" s="1693">
        <f t="shared" si="7"/>
        <v>1</v>
      </c>
      <c r="L41" s="1696"/>
      <c r="M41" s="1697"/>
      <c r="N41" s="1697"/>
      <c r="O41" s="1697"/>
      <c r="P41" s="1697"/>
      <c r="Q41" s="1733"/>
      <c r="R41" s="1695"/>
      <c r="S41" s="1696"/>
      <c r="T41" s="1696"/>
      <c r="U41" s="1691">
        <f>+F41-N41</f>
        <v>1875034</v>
      </c>
      <c r="V41" s="1691">
        <f t="shared" si="9"/>
        <v>1875034</v>
      </c>
      <c r="W41" s="1691">
        <f t="shared" si="12"/>
        <v>1875034</v>
      </c>
      <c r="X41" s="1733">
        <f t="shared" si="13"/>
        <v>1</v>
      </c>
      <c r="Y41" s="1695"/>
    </row>
    <row r="42" spans="1:25" ht="48.75" customHeight="1">
      <c r="A42" s="1743">
        <v>13</v>
      </c>
      <c r="B42" s="1724" t="s">
        <v>653</v>
      </c>
      <c r="C42" s="1705" t="s">
        <v>207</v>
      </c>
      <c r="D42" s="1691"/>
      <c r="E42" s="1691"/>
      <c r="F42" s="1691">
        <f>5511811+1488189</f>
        <v>7000000</v>
      </c>
      <c r="G42" s="1691">
        <f>5511811+1488189</f>
        <v>7000000</v>
      </c>
      <c r="H42" s="1691">
        <v>5913520</v>
      </c>
      <c r="I42" s="1691"/>
      <c r="J42" s="1731">
        <f t="shared" si="11"/>
        <v>5913520</v>
      </c>
      <c r="K42" s="1693">
        <f t="shared" si="7"/>
        <v>0.8447885714285714</v>
      </c>
      <c r="L42" s="1696"/>
      <c r="M42" s="1697"/>
      <c r="N42" s="1697"/>
      <c r="O42" s="1697"/>
      <c r="P42" s="1697"/>
      <c r="Q42" s="1733"/>
      <c r="R42" s="1695"/>
      <c r="S42" s="1696"/>
      <c r="T42" s="1696"/>
      <c r="U42" s="1691">
        <f>+F42-N42</f>
        <v>7000000</v>
      </c>
      <c r="V42" s="1691">
        <f t="shared" si="9"/>
        <v>7000000</v>
      </c>
      <c r="W42" s="1691">
        <f t="shared" si="12"/>
        <v>5913520</v>
      </c>
      <c r="X42" s="1733">
        <f t="shared" si="13"/>
        <v>0.8447885714285714</v>
      </c>
      <c r="Y42" s="1695"/>
    </row>
    <row r="43" spans="1:25" ht="48.75" customHeight="1">
      <c r="A43" s="1743">
        <v>14</v>
      </c>
      <c r="B43" s="1724" t="s">
        <v>654</v>
      </c>
      <c r="C43" s="1705" t="s">
        <v>207</v>
      </c>
      <c r="D43" s="1691"/>
      <c r="E43" s="1691"/>
      <c r="F43" s="1691">
        <v>1000000</v>
      </c>
      <c r="G43" s="1691">
        <v>1000000</v>
      </c>
      <c r="H43" s="1691">
        <f>490000+300000</f>
        <v>790000</v>
      </c>
      <c r="I43" s="1691"/>
      <c r="J43" s="1731">
        <f t="shared" si="11"/>
        <v>790000</v>
      </c>
      <c r="K43" s="1693">
        <f t="shared" si="7"/>
        <v>0.79</v>
      </c>
      <c r="L43" s="1696"/>
      <c r="M43" s="1697"/>
      <c r="N43" s="1697"/>
      <c r="O43" s="1697"/>
      <c r="P43" s="1697"/>
      <c r="Q43" s="1733"/>
      <c r="R43" s="1695"/>
      <c r="S43" s="1696"/>
      <c r="T43" s="1696"/>
      <c r="U43" s="1691">
        <f>+F43-N43</f>
        <v>1000000</v>
      </c>
      <c r="V43" s="1691">
        <f t="shared" si="9"/>
        <v>1000000</v>
      </c>
      <c r="W43" s="1691">
        <f t="shared" si="12"/>
        <v>790000</v>
      </c>
      <c r="X43" s="1733">
        <f t="shared" si="13"/>
        <v>0.79</v>
      </c>
      <c r="Y43" s="1695"/>
    </row>
    <row r="44" spans="1:25" ht="48.75" customHeight="1">
      <c r="A44" s="1743">
        <v>15</v>
      </c>
      <c r="B44" s="1724" t="s">
        <v>676</v>
      </c>
      <c r="C44" s="1705" t="s">
        <v>207</v>
      </c>
      <c r="D44" s="1691"/>
      <c r="E44" s="1691"/>
      <c r="F44" s="1691"/>
      <c r="G44" s="1691">
        <v>1208823</v>
      </c>
      <c r="H44" s="1691">
        <v>951829</v>
      </c>
      <c r="I44" s="1691">
        <v>256994</v>
      </c>
      <c r="J44" s="1731">
        <f t="shared" si="11"/>
        <v>1208823</v>
      </c>
      <c r="K44" s="1693">
        <f t="shared" si="7"/>
        <v>1</v>
      </c>
      <c r="L44" s="1696"/>
      <c r="M44" s="1697"/>
      <c r="N44" s="1697"/>
      <c r="O44" s="1697"/>
      <c r="P44" s="1697"/>
      <c r="Q44" s="1733"/>
      <c r="R44" s="1695"/>
      <c r="S44" s="1696"/>
      <c r="T44" s="1696"/>
      <c r="U44" s="1691"/>
      <c r="V44" s="1691">
        <f t="shared" si="9"/>
        <v>1208823</v>
      </c>
      <c r="W44" s="1691">
        <f t="shared" si="12"/>
        <v>1208823</v>
      </c>
      <c r="X44" s="1733">
        <f t="shared" si="13"/>
        <v>1</v>
      </c>
      <c r="Y44" s="1695"/>
    </row>
    <row r="45" spans="1:25" ht="48.75" customHeight="1" thickBot="1">
      <c r="A45" s="1743">
        <v>16</v>
      </c>
      <c r="B45" s="1724" t="s">
        <v>677</v>
      </c>
      <c r="C45" s="1705" t="s">
        <v>207</v>
      </c>
      <c r="D45" s="1691"/>
      <c r="E45" s="1691"/>
      <c r="F45" s="1691"/>
      <c r="G45" s="1691">
        <v>10624300</v>
      </c>
      <c r="H45" s="1691">
        <f>3545250+4260657+300000</f>
        <v>8105907</v>
      </c>
      <c r="I45" s="1691">
        <f>957217+1150377</f>
        <v>2107594</v>
      </c>
      <c r="J45" s="1731">
        <f t="shared" si="11"/>
        <v>10213501</v>
      </c>
      <c r="K45" s="1693">
        <f t="shared" si="7"/>
        <v>0.9613340172999633</v>
      </c>
      <c r="L45" s="1696"/>
      <c r="M45" s="1697"/>
      <c r="N45" s="1697"/>
      <c r="O45" s="1697">
        <v>10624300</v>
      </c>
      <c r="P45" s="1697">
        <v>10213501</v>
      </c>
      <c r="Q45" s="1733">
        <f>+P45/O45</f>
        <v>0.9613340172999633</v>
      </c>
      <c r="R45" s="1695"/>
      <c r="S45" s="1696"/>
      <c r="T45" s="1696"/>
      <c r="U45" s="1696"/>
      <c r="V45" s="1691">
        <f>G45-O45</f>
        <v>0</v>
      </c>
      <c r="W45" s="1691">
        <f t="shared" si="12"/>
        <v>0</v>
      </c>
      <c r="X45" s="1733"/>
      <c r="Y45" s="1695"/>
    </row>
    <row r="46" spans="1:25" ht="29.25" customHeight="1" hidden="1" thickBot="1">
      <c r="A46" s="1743"/>
      <c r="B46" s="1734"/>
      <c r="C46" s="1705" t="s">
        <v>207</v>
      </c>
      <c r="D46" s="1691"/>
      <c r="E46" s="1691"/>
      <c r="F46" s="1691"/>
      <c r="G46" s="1691"/>
      <c r="H46" s="1691"/>
      <c r="I46" s="1691"/>
      <c r="J46" s="1691"/>
      <c r="K46" s="1691"/>
      <c r="L46" s="1696"/>
      <c r="M46" s="1697"/>
      <c r="N46" s="1697"/>
      <c r="O46" s="1697"/>
      <c r="P46" s="1697"/>
      <c r="Q46" s="1733" t="e">
        <f>+P46/O46</f>
        <v>#DIV/0!</v>
      </c>
      <c r="R46" s="1695" t="e">
        <f>O46/M46</f>
        <v>#DIV/0!</v>
      </c>
      <c r="S46" s="1696"/>
      <c r="T46" s="1696"/>
      <c r="U46" s="1696"/>
      <c r="V46" s="1691">
        <f>G46-O46</f>
        <v>0</v>
      </c>
      <c r="W46" s="1691"/>
      <c r="X46" s="1733" t="e">
        <f t="shared" si="13"/>
        <v>#DIV/0!</v>
      </c>
      <c r="Y46" s="1695" t="e">
        <f>V46/T46</f>
        <v>#DIV/0!</v>
      </c>
    </row>
    <row r="47" spans="1:25" ht="29.25" customHeight="1" thickBot="1">
      <c r="A47" s="1712" t="s">
        <v>1</v>
      </c>
      <c r="B47" s="1735"/>
      <c r="C47" s="1673"/>
      <c r="D47" s="1714">
        <f aca="true" t="shared" si="14" ref="D47:J47">SUM(D30:D46)</f>
        <v>236308322</v>
      </c>
      <c r="E47" s="1714">
        <f t="shared" si="14"/>
        <v>263592926</v>
      </c>
      <c r="F47" s="1714">
        <f t="shared" si="14"/>
        <v>273223309</v>
      </c>
      <c r="G47" s="1714">
        <f t="shared" si="14"/>
        <v>286221429</v>
      </c>
      <c r="H47" s="1714">
        <f t="shared" si="14"/>
        <v>174171208</v>
      </c>
      <c r="I47" s="1714">
        <f t="shared" si="14"/>
        <v>45212707</v>
      </c>
      <c r="J47" s="1714">
        <f t="shared" si="14"/>
        <v>219383915</v>
      </c>
      <c r="K47" s="1716">
        <f>+J47/G47</f>
        <v>0.7664831936814905</v>
      </c>
      <c r="L47" s="1714">
        <f>SUM(L30:L46)</f>
        <v>102254376</v>
      </c>
      <c r="M47" s="1715">
        <f>SUM(M30:M46)</f>
        <v>102254376</v>
      </c>
      <c r="N47" s="1715">
        <f>SUM(N30:N46)</f>
        <v>102254376</v>
      </c>
      <c r="O47" s="1715">
        <f>SUM(O30:O46)</f>
        <v>112878676</v>
      </c>
      <c r="P47" s="1715">
        <f>SUM(P30:P46)</f>
        <v>93174745</v>
      </c>
      <c r="Q47" s="1716">
        <f>+P47/O47</f>
        <v>0.8254415120886074</v>
      </c>
      <c r="R47" s="1717">
        <f>P47/O47</f>
        <v>0.8254415120886074</v>
      </c>
      <c r="S47" s="1714">
        <f>SUM(S30:S46)</f>
        <v>134053946</v>
      </c>
      <c r="T47" s="1714">
        <f>SUM(T30:T46)</f>
        <v>161338550</v>
      </c>
      <c r="U47" s="1714">
        <f>SUM(U30:U46)</f>
        <v>170968933</v>
      </c>
      <c r="V47" s="1714">
        <f>SUM(V30:V46)</f>
        <v>173342753</v>
      </c>
      <c r="W47" s="1714">
        <f>SUM(W30:W46)</f>
        <v>126209170</v>
      </c>
      <c r="X47" s="1716">
        <f t="shared" si="13"/>
        <v>0.7280902594179983</v>
      </c>
      <c r="Y47" s="1717">
        <f>W47/V47</f>
        <v>0.7280902594179983</v>
      </c>
    </row>
    <row r="48" ht="15.75">
      <c r="D48" s="1719" t="str">
        <f>IF(D47='[2]4.sz.m.ÖNK kiadás'!E19," ","HIBA - nem egyenlő főlappal")</f>
        <v> </v>
      </c>
    </row>
    <row r="49" spans="4:19" ht="12.75">
      <c r="D49" s="1736" t="str">
        <f>IF(L47+S47=D47," ","HIBA-NEM EGYENLŐ")</f>
        <v> </v>
      </c>
      <c r="H49" s="1739">
        <v>174171208</v>
      </c>
      <c r="I49" s="1739">
        <v>45212707</v>
      </c>
      <c r="L49" s="1739"/>
      <c r="M49" s="1739"/>
      <c r="N49" s="1739"/>
      <c r="O49" s="1739"/>
      <c r="P49" s="1739"/>
      <c r="Q49" s="1739"/>
      <c r="R49" s="1739"/>
      <c r="S49" s="1739"/>
    </row>
    <row r="50" spans="8:22" ht="12.75">
      <c r="H50" s="1739">
        <f>+H49-H47</f>
        <v>0</v>
      </c>
      <c r="I50" s="1739">
        <f>+I49-I47</f>
        <v>0</v>
      </c>
      <c r="V50" s="1739"/>
    </row>
  </sheetData>
  <sheetProtection/>
  <mergeCells count="10">
    <mergeCell ref="D3:K3"/>
    <mergeCell ref="D28:K28"/>
    <mergeCell ref="L28:R28"/>
    <mergeCell ref="S28:Y28"/>
    <mergeCell ref="A47:B47"/>
    <mergeCell ref="A1:S1"/>
    <mergeCell ref="L3:R3"/>
    <mergeCell ref="S3:Y3"/>
    <mergeCell ref="A23:B23"/>
    <mergeCell ref="A26:S26"/>
  </mergeCells>
  <printOptions horizontalCentered="1"/>
  <pageMargins left="0.5905511811023623" right="0.5905511811023623" top="1.0901041666666667" bottom="0.7874015748031497" header="0.5118110236220472" footer="0.31496062992125984"/>
  <pageSetup fitToHeight="1" fitToWidth="1" horizontalDpi="300" verticalDpi="300" orientation="landscape" paperSize="9" scale="32" r:id="rId1"/>
  <headerFooter alignWithMargins="0">
    <oddHeader xml:space="preserve">&amp;CÖNKORMÁNYZATI BERUHÁZÁSOK ÉS FELÚJÍTÁSOK
2018.
&amp;R&amp;"Arial CE,Félkövér dőlt"6/a számú melléklet </oddHeader>
  </headerFooter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G32" sqref="G32"/>
    </sheetView>
  </sheetViews>
  <sheetFormatPr defaultColWidth="9.140625" defaultRowHeight="12.75"/>
  <cols>
    <col min="1" max="1" width="6.57421875" style="8" customWidth="1"/>
    <col min="2" max="2" width="26.7109375" style="242" customWidth="1"/>
    <col min="3" max="3" width="28.28125" style="242" customWidth="1"/>
    <col min="4" max="4" width="5.00390625" style="8" customWidth="1"/>
    <col min="5" max="6" width="14.57421875" style="8" customWidth="1"/>
    <col min="7" max="7" width="15.7109375" style="8" customWidth="1"/>
    <col min="8" max="8" width="13.57421875" style="8" customWidth="1"/>
    <col min="9" max="9" width="12.57421875" style="8" customWidth="1"/>
    <col min="10" max="10" width="13.8515625" style="8" customWidth="1"/>
    <col min="11" max="11" width="14.7109375" style="8" hidden="1" customWidth="1"/>
    <col min="12" max="12" width="11.421875" style="8" hidden="1" customWidth="1"/>
    <col min="13" max="13" width="9.140625" style="8" hidden="1" customWidth="1"/>
    <col min="14" max="14" width="9.140625" style="8" customWidth="1"/>
    <col min="15" max="15" width="9.140625" style="8" hidden="1" customWidth="1"/>
    <col min="16" max="16384" width="9.140625" style="8" customWidth="1"/>
  </cols>
  <sheetData>
    <row r="1" spans="2:9" ht="12.75">
      <c r="B1" s="854"/>
      <c r="D1" s="1454" t="s">
        <v>912</v>
      </c>
      <c r="E1" s="1454"/>
      <c r="F1" s="1454"/>
      <c r="G1" s="1454"/>
      <c r="H1" s="1454"/>
      <c r="I1" s="1454"/>
    </row>
    <row r="2" ht="12.75">
      <c r="B2" s="854"/>
    </row>
    <row r="3" spans="1:6" ht="18">
      <c r="A3" s="1452" t="s">
        <v>56</v>
      </c>
      <c r="B3" s="1452"/>
      <c r="C3" s="1452"/>
      <c r="D3" s="1452"/>
      <c r="E3" s="1452"/>
      <c r="F3" s="855"/>
    </row>
    <row r="4" spans="1:6" ht="18">
      <c r="A4" s="1452" t="s">
        <v>506</v>
      </c>
      <c r="B4" s="1452"/>
      <c r="C4" s="1452"/>
      <c r="D4" s="1452"/>
      <c r="E4" s="1452"/>
      <c r="F4" s="855"/>
    </row>
    <row r="5" spans="1:6" ht="18">
      <c r="A5" s="855"/>
      <c r="B5" s="856"/>
      <c r="C5" s="856"/>
      <c r="D5" s="855"/>
      <c r="E5" s="855"/>
      <c r="F5" s="855"/>
    </row>
    <row r="6" spans="1:6" ht="15.75">
      <c r="A6" s="1453" t="s">
        <v>546</v>
      </c>
      <c r="B6" s="1453"/>
      <c r="C6" s="1453"/>
      <c r="D6" s="1453"/>
      <c r="E6" s="1453"/>
      <c r="F6" s="853"/>
    </row>
    <row r="7" spans="1:10" ht="16.5" customHeight="1" thickBot="1">
      <c r="A7" s="857"/>
      <c r="B7" s="854"/>
      <c r="C7" s="1455" t="s">
        <v>474</v>
      </c>
      <c r="D7" s="1455"/>
      <c r="E7" s="1455"/>
      <c r="F7" s="1455"/>
      <c r="G7" s="1455"/>
      <c r="H7" s="1455"/>
      <c r="I7" s="1455"/>
      <c r="J7" s="1455"/>
    </row>
    <row r="8" spans="1:11" ht="45.75" customHeight="1" thickBot="1">
      <c r="A8" s="858" t="s">
        <v>19</v>
      </c>
      <c r="B8" s="859" t="s">
        <v>17</v>
      </c>
      <c r="C8" s="859" t="s">
        <v>18</v>
      </c>
      <c r="D8" s="860" t="s">
        <v>30</v>
      </c>
      <c r="E8" s="861" t="s">
        <v>205</v>
      </c>
      <c r="F8" s="859" t="s">
        <v>227</v>
      </c>
      <c r="G8" s="859" t="s">
        <v>230</v>
      </c>
      <c r="H8" s="859" t="s">
        <v>232</v>
      </c>
      <c r="I8" s="859" t="s">
        <v>235</v>
      </c>
      <c r="J8" s="859" t="s">
        <v>236</v>
      </c>
      <c r="K8" s="295"/>
    </row>
    <row r="9" spans="1:10" ht="30" customHeight="1" thickBot="1">
      <c r="A9" s="13">
        <v>1</v>
      </c>
      <c r="B9" s="16" t="s">
        <v>337</v>
      </c>
      <c r="C9" s="16" t="s">
        <v>338</v>
      </c>
      <c r="D9" s="631" t="s">
        <v>15</v>
      </c>
      <c r="E9" s="633">
        <v>889000</v>
      </c>
      <c r="F9" s="633">
        <f>889000-118000</f>
        <v>771000</v>
      </c>
      <c r="G9" s="633">
        <f>889000-118000</f>
        <v>771000</v>
      </c>
      <c r="H9" s="633">
        <v>0</v>
      </c>
      <c r="I9" s="633">
        <v>0</v>
      </c>
      <c r="J9" s="952"/>
    </row>
    <row r="10" spans="1:10" ht="30" customHeight="1" thickBot="1">
      <c r="A10" s="31">
        <v>2</v>
      </c>
      <c r="B10" s="16" t="s">
        <v>337</v>
      </c>
      <c r="C10" s="690" t="s">
        <v>636</v>
      </c>
      <c r="D10" s="691" t="s">
        <v>15</v>
      </c>
      <c r="E10" s="692"/>
      <c r="F10" s="692">
        <v>118000</v>
      </c>
      <c r="G10" s="692">
        <v>118000</v>
      </c>
      <c r="H10" s="692">
        <f>118000+31860</f>
        <v>149860</v>
      </c>
      <c r="I10" s="692">
        <f>118000+31860</f>
        <v>149860</v>
      </c>
      <c r="J10" s="953">
        <f aca="true" t="shared" si="0" ref="J10:J35">+I10/H10</f>
        <v>1</v>
      </c>
    </row>
    <row r="11" spans="1:11" ht="30" customHeight="1">
      <c r="A11" s="31">
        <v>3</v>
      </c>
      <c r="B11" s="16" t="s">
        <v>337</v>
      </c>
      <c r="C11" s="690" t="s">
        <v>665</v>
      </c>
      <c r="D11" s="691" t="s">
        <v>15</v>
      </c>
      <c r="E11" s="692"/>
      <c r="F11" s="692"/>
      <c r="G11" s="692"/>
      <c r="H11" s="692">
        <v>29250</v>
      </c>
      <c r="I11" s="692">
        <v>29250</v>
      </c>
      <c r="J11" s="953">
        <f t="shared" si="0"/>
        <v>1</v>
      </c>
      <c r="K11" s="8">
        <f>+'5.1 sz. m Köz Hiv'!G41</f>
        <v>179110</v>
      </c>
    </row>
    <row r="12" spans="1:14" ht="30" customHeight="1">
      <c r="A12" s="31">
        <v>4</v>
      </c>
      <c r="B12" s="690" t="s">
        <v>214</v>
      </c>
      <c r="C12" s="17" t="s">
        <v>559</v>
      </c>
      <c r="D12" s="862" t="s">
        <v>15</v>
      </c>
      <c r="E12" s="692">
        <v>25400</v>
      </c>
      <c r="F12" s="692">
        <v>25400</v>
      </c>
      <c r="G12" s="692">
        <v>25400</v>
      </c>
      <c r="H12" s="692">
        <v>0</v>
      </c>
      <c r="I12" s="692">
        <v>0</v>
      </c>
      <c r="J12" s="953"/>
      <c r="K12" s="295"/>
      <c r="N12" s="295"/>
    </row>
    <row r="13" spans="1:10" ht="30" customHeight="1">
      <c r="A13" s="31">
        <v>5</v>
      </c>
      <c r="B13" s="690" t="s">
        <v>214</v>
      </c>
      <c r="C13" s="30" t="s">
        <v>560</v>
      </c>
      <c r="D13" s="862" t="s">
        <v>15</v>
      </c>
      <c r="E13" s="692">
        <v>101600</v>
      </c>
      <c r="F13" s="692">
        <v>101600</v>
      </c>
      <c r="G13" s="692">
        <v>101600</v>
      </c>
      <c r="H13" s="692">
        <v>0</v>
      </c>
      <c r="I13" s="692">
        <v>0</v>
      </c>
      <c r="J13" s="953"/>
    </row>
    <row r="14" spans="1:13" ht="30" customHeight="1">
      <c r="A14" s="31">
        <v>6</v>
      </c>
      <c r="B14" s="690" t="s">
        <v>214</v>
      </c>
      <c r="C14" s="30" t="s">
        <v>637</v>
      </c>
      <c r="D14" s="863" t="s">
        <v>15</v>
      </c>
      <c r="E14" s="634"/>
      <c r="F14" s="634">
        <f>193890+38310</f>
        <v>232200</v>
      </c>
      <c r="G14" s="634">
        <f>193890+38310</f>
        <v>232200</v>
      </c>
      <c r="H14" s="634">
        <f>193890+38310+45071+12169</f>
        <v>289440</v>
      </c>
      <c r="I14" s="634">
        <f>193890+38310+45071+12169</f>
        <v>289440</v>
      </c>
      <c r="J14" s="954">
        <f t="shared" si="0"/>
        <v>1</v>
      </c>
      <c r="K14" s="8">
        <f>193890+45071</f>
        <v>238961</v>
      </c>
      <c r="L14" s="8">
        <f>38310+12169</f>
        <v>50479</v>
      </c>
      <c r="M14" s="8">
        <f>SUM(K14:L14)</f>
        <v>289440</v>
      </c>
    </row>
    <row r="15" spans="1:13" ht="30" customHeight="1">
      <c r="A15" s="31">
        <v>7</v>
      </c>
      <c r="B15" s="690" t="s">
        <v>214</v>
      </c>
      <c r="C15" s="30" t="s">
        <v>638</v>
      </c>
      <c r="D15" s="863" t="s">
        <v>15</v>
      </c>
      <c r="E15" s="634"/>
      <c r="F15" s="634">
        <f>18110+4890</f>
        <v>23000</v>
      </c>
      <c r="G15" s="634">
        <f>18110+4890</f>
        <v>23000</v>
      </c>
      <c r="H15" s="634">
        <f>18110+4890</f>
        <v>23000</v>
      </c>
      <c r="I15" s="634">
        <f>18110+4890</f>
        <v>23000</v>
      </c>
      <c r="J15" s="954">
        <f t="shared" si="0"/>
        <v>1</v>
      </c>
      <c r="K15" s="8">
        <v>18110</v>
      </c>
      <c r="L15" s="8">
        <v>4890</v>
      </c>
      <c r="M15" s="8">
        <f aca="true" t="shared" si="1" ref="M15:M34">SUM(K15:L15)</f>
        <v>23000</v>
      </c>
    </row>
    <row r="16" spans="1:13" ht="30" customHeight="1">
      <c r="A16" s="31">
        <v>8</v>
      </c>
      <c r="B16" s="690" t="s">
        <v>214</v>
      </c>
      <c r="C16" s="30" t="s">
        <v>639</v>
      </c>
      <c r="D16" s="632" t="s">
        <v>15</v>
      </c>
      <c r="E16" s="634"/>
      <c r="F16" s="634">
        <f>376315+101605+45685+12335</f>
        <v>535940</v>
      </c>
      <c r="G16" s="634">
        <f>376315+101605+45685+12335</f>
        <v>535940</v>
      </c>
      <c r="H16" s="634">
        <f>376315+101605+45685+12335</f>
        <v>535940</v>
      </c>
      <c r="I16" s="634">
        <f>376315+101605+45685+12335</f>
        <v>535940</v>
      </c>
      <c r="J16" s="954">
        <f t="shared" si="0"/>
        <v>1</v>
      </c>
      <c r="K16" s="8">
        <v>422000</v>
      </c>
      <c r="L16" s="8">
        <v>113940</v>
      </c>
      <c r="M16" s="8">
        <f t="shared" si="1"/>
        <v>535940</v>
      </c>
    </row>
    <row r="17" spans="1:13" ht="36.75" customHeight="1">
      <c r="A17" s="31">
        <v>9</v>
      </c>
      <c r="B17" s="690" t="s">
        <v>214</v>
      </c>
      <c r="C17" s="30" t="s">
        <v>640</v>
      </c>
      <c r="D17" s="632" t="s">
        <v>15</v>
      </c>
      <c r="E17" s="634"/>
      <c r="F17" s="634">
        <f>272835+73665+182100+49167</f>
        <v>577767</v>
      </c>
      <c r="G17" s="634">
        <f>272835+73665+182100+49167</f>
        <v>577767</v>
      </c>
      <c r="H17" s="634">
        <v>346500</v>
      </c>
      <c r="I17" s="634">
        <v>346500</v>
      </c>
      <c r="J17" s="954">
        <f t="shared" si="0"/>
        <v>1</v>
      </c>
      <c r="K17" s="295">
        <v>272835</v>
      </c>
      <c r="L17" s="8">
        <v>73665</v>
      </c>
      <c r="M17" s="8">
        <f t="shared" si="1"/>
        <v>346500</v>
      </c>
    </row>
    <row r="18" spans="1:13" ht="36.75" customHeight="1">
      <c r="A18" s="31">
        <v>10</v>
      </c>
      <c r="B18" s="690" t="s">
        <v>214</v>
      </c>
      <c r="C18" s="30" t="s">
        <v>641</v>
      </c>
      <c r="D18" s="632" t="s">
        <v>15</v>
      </c>
      <c r="E18" s="634"/>
      <c r="F18" s="634">
        <f>136664+33307+506163+123360</f>
        <v>799494</v>
      </c>
      <c r="G18" s="634">
        <f>136664+33307+506163+123360+73140+19748</f>
        <v>892382</v>
      </c>
      <c r="H18" s="634">
        <v>1123649</v>
      </c>
      <c r="I18" s="634">
        <v>1123649</v>
      </c>
      <c r="J18" s="954">
        <f t="shared" si="0"/>
        <v>1</v>
      </c>
      <c r="K18" s="295">
        <f>811623+73140</f>
        <v>884763</v>
      </c>
      <c r="L18" s="8">
        <f>169971+49167+19748</f>
        <v>238886</v>
      </c>
      <c r="M18" s="8">
        <f t="shared" si="1"/>
        <v>1123649</v>
      </c>
    </row>
    <row r="19" spans="1:13" ht="36.75" customHeight="1">
      <c r="A19" s="31">
        <v>11</v>
      </c>
      <c r="B19" s="690" t="s">
        <v>214</v>
      </c>
      <c r="C19" s="30" t="s">
        <v>642</v>
      </c>
      <c r="D19" s="862" t="s">
        <v>15</v>
      </c>
      <c r="E19" s="634"/>
      <c r="F19" s="634">
        <f>37795+10205</f>
        <v>48000</v>
      </c>
      <c r="G19" s="634">
        <f>37795+10205</f>
        <v>48000</v>
      </c>
      <c r="H19" s="634">
        <f>37795+10205</f>
        <v>48000</v>
      </c>
      <c r="I19" s="634">
        <f>37795+10205</f>
        <v>48000</v>
      </c>
      <c r="J19" s="954">
        <f t="shared" si="0"/>
        <v>1</v>
      </c>
      <c r="K19" s="295">
        <v>37795</v>
      </c>
      <c r="L19" s="8">
        <v>10205</v>
      </c>
      <c r="M19" s="8">
        <f t="shared" si="1"/>
        <v>48000</v>
      </c>
    </row>
    <row r="20" spans="1:13" ht="36.75" customHeight="1">
      <c r="A20" s="31">
        <v>12</v>
      </c>
      <c r="B20" s="690" t="s">
        <v>214</v>
      </c>
      <c r="C20" s="30" t="s">
        <v>643</v>
      </c>
      <c r="D20" s="862" t="s">
        <v>15</v>
      </c>
      <c r="E20" s="634"/>
      <c r="F20" s="634">
        <f>4460+16520</f>
        <v>20980</v>
      </c>
      <c r="G20" s="634">
        <f>4460+16520</f>
        <v>20980</v>
      </c>
      <c r="H20" s="634">
        <f>4460+16520</f>
        <v>20980</v>
      </c>
      <c r="I20" s="634">
        <f>4460+16520</f>
        <v>20980</v>
      </c>
      <c r="J20" s="954">
        <f t="shared" si="0"/>
        <v>1</v>
      </c>
      <c r="K20" s="295">
        <v>16520</v>
      </c>
      <c r="L20" s="8">
        <v>4460</v>
      </c>
      <c r="M20" s="8">
        <f t="shared" si="1"/>
        <v>20980</v>
      </c>
    </row>
    <row r="21" spans="1:13" ht="36.75" customHeight="1">
      <c r="A21" s="31">
        <v>13</v>
      </c>
      <c r="B21" s="690" t="s">
        <v>214</v>
      </c>
      <c r="C21" s="30" t="s">
        <v>644</v>
      </c>
      <c r="D21" s="862" t="s">
        <v>15</v>
      </c>
      <c r="E21" s="634"/>
      <c r="F21" s="634">
        <f>62831+16965</f>
        <v>79796</v>
      </c>
      <c r="G21" s="634">
        <f>62831+16965</f>
        <v>79796</v>
      </c>
      <c r="H21" s="634">
        <f>62831+16965</f>
        <v>79796</v>
      </c>
      <c r="I21" s="634">
        <f>62831+16965</f>
        <v>79796</v>
      </c>
      <c r="J21" s="954">
        <f t="shared" si="0"/>
        <v>1</v>
      </c>
      <c r="K21" s="295">
        <v>62831</v>
      </c>
      <c r="L21" s="8">
        <v>16965</v>
      </c>
      <c r="M21" s="8">
        <f t="shared" si="1"/>
        <v>79796</v>
      </c>
    </row>
    <row r="22" spans="1:13" ht="36.75" customHeight="1">
      <c r="A22" s="31">
        <v>14</v>
      </c>
      <c r="B22" s="690" t="s">
        <v>214</v>
      </c>
      <c r="C22" s="30" t="s">
        <v>645</v>
      </c>
      <c r="D22" s="862" t="s">
        <v>15</v>
      </c>
      <c r="E22" s="634"/>
      <c r="F22" s="634">
        <f>92598+25002</f>
        <v>117600</v>
      </c>
      <c r="G22" s="634">
        <f>92598+25002</f>
        <v>117600</v>
      </c>
      <c r="H22" s="634">
        <f>92598+25002</f>
        <v>117600</v>
      </c>
      <c r="I22" s="634">
        <f>92598+25002</f>
        <v>117600</v>
      </c>
      <c r="J22" s="954">
        <f t="shared" si="0"/>
        <v>1</v>
      </c>
      <c r="K22" s="295">
        <v>92598</v>
      </c>
      <c r="L22" s="8">
        <v>25002</v>
      </c>
      <c r="M22" s="8">
        <f t="shared" si="1"/>
        <v>117600</v>
      </c>
    </row>
    <row r="23" spans="1:15" ht="36.75" customHeight="1">
      <c r="A23" s="31">
        <v>15</v>
      </c>
      <c r="B23" s="690" t="s">
        <v>214</v>
      </c>
      <c r="C23" s="30" t="s">
        <v>658</v>
      </c>
      <c r="D23" s="862" t="s">
        <v>15</v>
      </c>
      <c r="E23" s="634"/>
      <c r="F23" s="634"/>
      <c r="G23" s="634">
        <f>8662+2338</f>
        <v>11000</v>
      </c>
      <c r="H23" s="634">
        <f>8662+2338</f>
        <v>11000</v>
      </c>
      <c r="I23" s="634">
        <f>8662+2338</f>
        <v>11000</v>
      </c>
      <c r="J23" s="954">
        <f t="shared" si="0"/>
        <v>1</v>
      </c>
      <c r="K23" s="295">
        <f>8661+1</f>
        <v>8662</v>
      </c>
      <c r="L23" s="8">
        <v>2338</v>
      </c>
      <c r="M23" s="8">
        <f t="shared" si="1"/>
        <v>11000</v>
      </c>
      <c r="O23" s="8">
        <f>11000*0.27</f>
        <v>2970</v>
      </c>
    </row>
    <row r="24" spans="1:13" ht="36.75" customHeight="1">
      <c r="A24" s="31">
        <v>16</v>
      </c>
      <c r="B24" s="690" t="s">
        <v>214</v>
      </c>
      <c r="C24" s="30" t="s">
        <v>660</v>
      </c>
      <c r="D24" s="862" t="s">
        <v>15</v>
      </c>
      <c r="E24" s="634"/>
      <c r="F24" s="634"/>
      <c r="G24" s="634">
        <f>18106+4889+23614+6376+10236+2764+201961+54529+183992+49678</f>
        <v>556145</v>
      </c>
      <c r="H24" s="634">
        <v>548149</v>
      </c>
      <c r="I24" s="634">
        <v>548149</v>
      </c>
      <c r="J24" s="954">
        <f t="shared" si="0"/>
        <v>1</v>
      </c>
      <c r="K24" s="295">
        <f>18898+195802+201961+23614-8661-1</f>
        <v>431613</v>
      </c>
      <c r="L24" s="8">
        <f>5102+52867+60905-2338</f>
        <v>116536</v>
      </c>
      <c r="M24" s="8">
        <f t="shared" si="1"/>
        <v>548149</v>
      </c>
    </row>
    <row r="25" spans="1:13" ht="36.75" customHeight="1">
      <c r="A25" s="31">
        <v>17</v>
      </c>
      <c r="B25" s="690" t="s">
        <v>214</v>
      </c>
      <c r="C25" s="30" t="s">
        <v>656</v>
      </c>
      <c r="D25" s="862" t="s">
        <v>15</v>
      </c>
      <c r="E25" s="634"/>
      <c r="F25" s="634"/>
      <c r="G25" s="634">
        <f>125951+34007</f>
        <v>159958</v>
      </c>
      <c r="H25" s="634">
        <v>278492</v>
      </c>
      <c r="I25" s="634">
        <v>278492</v>
      </c>
      <c r="J25" s="954">
        <f t="shared" si="0"/>
        <v>1</v>
      </c>
      <c r="K25" s="295">
        <f>93334+125951</f>
        <v>219285</v>
      </c>
      <c r="L25" s="8">
        <f>34007+25200</f>
        <v>59207</v>
      </c>
      <c r="M25" s="8">
        <f t="shared" si="1"/>
        <v>278492</v>
      </c>
    </row>
    <row r="26" spans="1:13" ht="36.75" customHeight="1">
      <c r="A26" s="31">
        <v>18</v>
      </c>
      <c r="B26" s="690" t="s">
        <v>214</v>
      </c>
      <c r="C26" s="30" t="s">
        <v>661</v>
      </c>
      <c r="D26" s="862" t="s">
        <v>15</v>
      </c>
      <c r="E26" s="634"/>
      <c r="F26" s="634"/>
      <c r="G26" s="634">
        <f>+-800-216+254000+68580+53470+14437</f>
        <v>389471</v>
      </c>
      <c r="H26" s="634">
        <f>+-800-216+254000+68580+53470+14437</f>
        <v>389471</v>
      </c>
      <c r="I26" s="634">
        <f>+-800-216+254000+68580+53470+14437</f>
        <v>389471</v>
      </c>
      <c r="J26" s="954">
        <f t="shared" si="0"/>
        <v>1</v>
      </c>
      <c r="K26" s="295">
        <f>253200+53470</f>
        <v>306670</v>
      </c>
      <c r="L26" s="8">
        <f>68364+14437</f>
        <v>82801</v>
      </c>
      <c r="M26" s="8">
        <f t="shared" si="1"/>
        <v>389471</v>
      </c>
    </row>
    <row r="27" spans="1:13" ht="36.75" customHeight="1">
      <c r="A27" s="31">
        <v>19</v>
      </c>
      <c r="B27" s="690" t="s">
        <v>214</v>
      </c>
      <c r="C27" s="30" t="s">
        <v>657</v>
      </c>
      <c r="D27" s="862" t="s">
        <v>15</v>
      </c>
      <c r="E27" s="634"/>
      <c r="F27" s="634"/>
      <c r="G27" s="634">
        <f>567+153+175000+47250</f>
        <v>222970</v>
      </c>
      <c r="H27" s="634">
        <f>567+153+175000+47250</f>
        <v>222970</v>
      </c>
      <c r="I27" s="634">
        <f>567+153+175000+47250</f>
        <v>222970</v>
      </c>
      <c r="J27" s="954">
        <f t="shared" si="0"/>
        <v>1</v>
      </c>
      <c r="K27" s="295">
        <v>175567</v>
      </c>
      <c r="L27" s="8">
        <v>47403</v>
      </c>
      <c r="M27" s="8">
        <f t="shared" si="1"/>
        <v>222970</v>
      </c>
    </row>
    <row r="28" spans="1:13" ht="36.75" customHeight="1">
      <c r="A28" s="31">
        <v>20</v>
      </c>
      <c r="B28" s="690" t="s">
        <v>214</v>
      </c>
      <c r="C28" s="30" t="s">
        <v>659</v>
      </c>
      <c r="D28" s="862" t="s">
        <v>15</v>
      </c>
      <c r="E28" s="634"/>
      <c r="F28" s="634"/>
      <c r="G28" s="634">
        <f>96940+26174</f>
        <v>123114</v>
      </c>
      <c r="H28" s="634">
        <f>96940+26174</f>
        <v>123114</v>
      </c>
      <c r="I28" s="634">
        <f>96940+26174</f>
        <v>123114</v>
      </c>
      <c r="J28" s="954">
        <f t="shared" si="0"/>
        <v>1</v>
      </c>
      <c r="K28" s="295">
        <v>96940</v>
      </c>
      <c r="L28" s="8">
        <v>26174</v>
      </c>
      <c r="M28" s="8">
        <f t="shared" si="1"/>
        <v>123114</v>
      </c>
    </row>
    <row r="29" spans="1:13" ht="36.75" customHeight="1">
      <c r="A29" s="31">
        <v>21</v>
      </c>
      <c r="B29" s="690" t="s">
        <v>214</v>
      </c>
      <c r="C29" s="864" t="s">
        <v>670</v>
      </c>
      <c r="D29" s="862" t="s">
        <v>15</v>
      </c>
      <c r="E29" s="634"/>
      <c r="F29" s="634"/>
      <c r="G29" s="634"/>
      <c r="H29" s="634">
        <f>105500+28485</f>
        <v>133985</v>
      </c>
      <c r="I29" s="634">
        <f>105500+28485</f>
        <v>133985</v>
      </c>
      <c r="J29" s="954">
        <f t="shared" si="0"/>
        <v>1</v>
      </c>
      <c r="K29" s="295">
        <v>105500</v>
      </c>
      <c r="L29" s="8">
        <v>28485</v>
      </c>
      <c r="M29" s="8">
        <f t="shared" si="1"/>
        <v>133985</v>
      </c>
    </row>
    <row r="30" spans="1:13" ht="36.75" customHeight="1">
      <c r="A30" s="31">
        <v>22</v>
      </c>
      <c r="B30" s="690" t="s">
        <v>214</v>
      </c>
      <c r="C30" s="30" t="s">
        <v>699</v>
      </c>
      <c r="D30" s="862" t="s">
        <v>15</v>
      </c>
      <c r="E30" s="634"/>
      <c r="F30" s="634"/>
      <c r="G30" s="634"/>
      <c r="H30" s="634">
        <v>18250</v>
      </c>
      <c r="I30" s="634">
        <v>18250</v>
      </c>
      <c r="J30" s="954">
        <f t="shared" si="0"/>
        <v>1</v>
      </c>
      <c r="K30" s="295">
        <v>14370</v>
      </c>
      <c r="L30" s="8">
        <v>3880</v>
      </c>
      <c r="M30" s="8">
        <f t="shared" si="1"/>
        <v>18250</v>
      </c>
    </row>
    <row r="31" spans="1:13" ht="36.75" customHeight="1">
      <c r="A31" s="31">
        <v>23</v>
      </c>
      <c r="B31" s="690" t="s">
        <v>214</v>
      </c>
      <c r="C31" s="30" t="s">
        <v>666</v>
      </c>
      <c r="D31" s="862" t="s">
        <v>15</v>
      </c>
      <c r="E31" s="634"/>
      <c r="F31" s="634"/>
      <c r="G31" s="634"/>
      <c r="H31" s="634">
        <f>243000+65610</f>
        <v>308610</v>
      </c>
      <c r="I31" s="634">
        <f>243000+65610</f>
        <v>308610</v>
      </c>
      <c r="J31" s="954">
        <f t="shared" si="0"/>
        <v>1</v>
      </c>
      <c r="K31" s="295">
        <v>243000</v>
      </c>
      <c r="L31" s="8">
        <v>65610</v>
      </c>
      <c r="M31" s="8">
        <f t="shared" si="1"/>
        <v>308610</v>
      </c>
    </row>
    <row r="32" spans="1:13" ht="36.75" customHeight="1">
      <c r="A32" s="31">
        <v>24</v>
      </c>
      <c r="B32" s="690" t="s">
        <v>214</v>
      </c>
      <c r="C32" s="30" t="s">
        <v>669</v>
      </c>
      <c r="D32" s="862" t="s">
        <v>15</v>
      </c>
      <c r="E32" s="634"/>
      <c r="F32" s="634"/>
      <c r="G32" s="634"/>
      <c r="H32" s="634">
        <f>45750+12353</f>
        <v>58103</v>
      </c>
      <c r="I32" s="634">
        <f>45750+12353</f>
        <v>58103</v>
      </c>
      <c r="J32" s="954">
        <f t="shared" si="0"/>
        <v>1</v>
      </c>
      <c r="K32" s="8">
        <v>45750</v>
      </c>
      <c r="L32" s="865">
        <v>12353</v>
      </c>
      <c r="M32" s="8">
        <f t="shared" si="1"/>
        <v>58103</v>
      </c>
    </row>
    <row r="33" spans="1:13" ht="36.75" customHeight="1">
      <c r="A33" s="31">
        <v>25</v>
      </c>
      <c r="B33" s="690" t="s">
        <v>214</v>
      </c>
      <c r="C33" s="30" t="s">
        <v>667</v>
      </c>
      <c r="D33" s="862" t="s">
        <v>15</v>
      </c>
      <c r="E33" s="634"/>
      <c r="F33" s="634"/>
      <c r="G33" s="634"/>
      <c r="H33" s="634">
        <f>159303+43012</f>
        <v>202315</v>
      </c>
      <c r="I33" s="634">
        <f>159303+43012</f>
        <v>202315</v>
      </c>
      <c r="J33" s="954">
        <f t="shared" si="0"/>
        <v>1</v>
      </c>
      <c r="K33" s="8">
        <v>159303</v>
      </c>
      <c r="L33" s="865">
        <v>43012</v>
      </c>
      <c r="M33" s="8">
        <f t="shared" si="1"/>
        <v>202315</v>
      </c>
    </row>
    <row r="34" spans="1:13" ht="36.75" customHeight="1" thickBot="1">
      <c r="A34" s="871">
        <v>26</v>
      </c>
      <c r="B34" s="690" t="s">
        <v>214</v>
      </c>
      <c r="C34" s="30" t="s">
        <v>668</v>
      </c>
      <c r="D34" s="862" t="s">
        <v>15</v>
      </c>
      <c r="E34" s="634"/>
      <c r="F34" s="634"/>
      <c r="G34" s="634"/>
      <c r="H34" s="634">
        <f>73493+19843-1</f>
        <v>93335</v>
      </c>
      <c r="I34" s="634">
        <f>73493+19843-1</f>
        <v>93335</v>
      </c>
      <c r="J34" s="954">
        <f t="shared" si="0"/>
        <v>1</v>
      </c>
      <c r="K34" s="8">
        <v>73492</v>
      </c>
      <c r="L34" s="865">
        <v>19843</v>
      </c>
      <c r="M34" s="8">
        <f t="shared" si="1"/>
        <v>93335</v>
      </c>
    </row>
    <row r="35" spans="1:12" s="870" customFormat="1" ht="30" customHeight="1" thickBot="1">
      <c r="A35" s="1450" t="s">
        <v>1</v>
      </c>
      <c r="B35" s="1451"/>
      <c r="C35" s="866"/>
      <c r="D35" s="867"/>
      <c r="E35" s="868">
        <f>SUM(E9:E34)</f>
        <v>1016000</v>
      </c>
      <c r="F35" s="868">
        <f>SUM(F9:F34)</f>
        <v>3450777</v>
      </c>
      <c r="G35" s="868">
        <f>SUM(G9:G34)</f>
        <v>5006323</v>
      </c>
      <c r="H35" s="868">
        <f>SUM(H9:H34)</f>
        <v>5151809</v>
      </c>
      <c r="I35" s="868">
        <f>SUM(I9:I34)</f>
        <v>5151809</v>
      </c>
      <c r="J35" s="955">
        <f t="shared" si="0"/>
        <v>1</v>
      </c>
      <c r="K35" s="869">
        <f>SUM(K12:K34)</f>
        <v>3926565</v>
      </c>
      <c r="L35" s="869">
        <f>SUM(L12:L34)</f>
        <v>1046134</v>
      </c>
    </row>
    <row r="36" ht="12.75" hidden="1">
      <c r="K36" s="8">
        <f>301792+3624773</f>
        <v>3926565</v>
      </c>
    </row>
    <row r="37" spans="5:11" ht="12.75" hidden="1">
      <c r="E37" s="8" t="str">
        <f>IF(E35='5.2 sz. m ÁMK'!D44+'5.2 sz. m ÁMK'!D46+'5.1 sz. m Köz Hiv'!D41+'5.1 sz. m Köz Hiv'!D42," ","HIBA - nem egyenlő")</f>
        <v> </v>
      </c>
      <c r="F37" s="8" t="str">
        <f>IF(F35='5.2 sz. m ÁMK'!E44+'5.2 sz. m ÁMK'!E46+'5.1 sz. m Köz Hiv'!E41+'5.1 sz. m Köz Hiv'!E42," ","HIBA - nem egyenlő")</f>
        <v> </v>
      </c>
      <c r="H37" s="8">
        <f>+'5.2 sz. m ÁMK'!F44+'5.1 sz. m Köz Hiv'!G41</f>
        <v>4296433</v>
      </c>
      <c r="I37" s="8">
        <f>+'5.2 sz. m ÁMK'!G44+'5.1 sz. m Köz Hiv'!H41</f>
        <v>5151809</v>
      </c>
      <c r="J37" s="8">
        <f>+'5.2 sz. m ÁMK'!H44+'5.1 sz. m Köz Hiv'!I41</f>
        <v>4972700</v>
      </c>
      <c r="K37" s="8">
        <f>+K35-K36</f>
        <v>0</v>
      </c>
    </row>
    <row r="38" ht="12.75" hidden="1"/>
    <row r="39" ht="12.75" hidden="1">
      <c r="H39" s="8">
        <f>+'5.2 sz. m ÁMK'!G44</f>
        <v>4972699</v>
      </c>
    </row>
    <row r="40" ht="12.75" hidden="1">
      <c r="H40" s="295">
        <f>SUM(H12:H34)</f>
        <v>4972699</v>
      </c>
    </row>
    <row r="41" spans="6:8" ht="12.75" hidden="1">
      <c r="F41" s="295"/>
      <c r="H41" s="295">
        <f>+H39-H40</f>
        <v>0</v>
      </c>
    </row>
  </sheetData>
  <sheetProtection/>
  <mergeCells count="6">
    <mergeCell ref="A35:B35"/>
    <mergeCell ref="A3:E3"/>
    <mergeCell ref="A4:E4"/>
    <mergeCell ref="A6:E6"/>
    <mergeCell ref="D1:I1"/>
    <mergeCell ref="C7:J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42" r:id="rId1"/>
  <rowBreaks count="1" manualBreakCount="1">
    <brk id="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Reni</cp:lastModifiedBy>
  <cp:lastPrinted>2019-03-13T07:25:48Z</cp:lastPrinted>
  <dcterms:created xsi:type="dcterms:W3CDTF">2000-01-07T08:44:52Z</dcterms:created>
  <dcterms:modified xsi:type="dcterms:W3CDTF">2019-05-29T18:40:13Z</dcterms:modified>
  <cp:category/>
  <cp:version/>
  <cp:contentType/>
  <cp:contentStatus/>
</cp:coreProperties>
</file>